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g0cSNhg5jUWAKfZ4knGngSEQkWYQSi1o9qQysDGycBaMStTCdnOA3+Vh4Nhb3H++VvTpYIXSuWbctzhYzruZA==" workbookSaltValue="8CM6D6ck0eQxIgFbRp22p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BF9" i="8" s="1"/>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ES31" i="8"/>
  <c r="G23" i="12"/>
  <c r="AA31" i="8"/>
  <c r="EP31" i="8"/>
  <c r="ER31" i="13"/>
  <c r="EP31" i="19"/>
  <c r="S14" i="16"/>
  <c r="P14" i="16"/>
  <c r="F13" i="16"/>
  <c r="N30" i="16"/>
  <c r="H14" i="21"/>
  <c r="K26" i="2"/>
  <c r="K23" i="2"/>
  <c r="N26" i="2"/>
  <c r="M14" i="2"/>
  <c r="N14" i="2"/>
  <c r="G26" i="2"/>
  <c r="N23" i="2"/>
  <c r="F30" i="17"/>
  <c r="F14" i="7"/>
  <c r="T14" i="16"/>
  <c r="T14" i="20"/>
  <c r="BF25" i="8"/>
  <c r="C30" i="7"/>
  <c r="AO14" i="21"/>
  <c r="AP14" i="16"/>
  <c r="T23" i="17"/>
  <c r="T26" i="17" s="1"/>
  <c r="T30" i="17" s="1"/>
  <c r="BG16" i="13"/>
  <c r="BE16" i="13"/>
  <c r="X32" i="20"/>
  <c r="G23" i="14"/>
  <c r="G30" i="14"/>
  <c r="E29" i="3" l="1"/>
  <c r="AK31" i="8"/>
  <c r="M23" i="2"/>
  <c r="K30" i="2"/>
  <c r="H21" i="2"/>
  <c r="AY14" i="8"/>
  <c r="BG16" i="8"/>
  <c r="K16" i="7" s="1"/>
  <c r="Z14" i="17"/>
  <c r="BD17" i="13"/>
  <c r="BE17" i="13"/>
  <c r="BF17" i="8"/>
  <c r="B16" i="6"/>
  <c r="BD12" i="8"/>
  <c r="R8" i="9"/>
  <c r="X12" i="21" s="1"/>
  <c r="T18"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R13" i="14"/>
  <c r="S13" i="14"/>
  <c r="V13" i="14" s="1"/>
  <c r="S18" i="14"/>
  <c r="V18" i="14" s="1"/>
  <c r="R18" i="14"/>
  <c r="T12" i="11"/>
  <c r="T22"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AS31" i="8" s="1"/>
  <c r="H13" i="10"/>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O10" i="11"/>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Z32" i="20"/>
  <c r="AL32" i="20"/>
  <c r="T28" i="11" l="1"/>
  <c r="T19" i="11"/>
  <c r="R22" i="14"/>
  <c r="R11" i="14"/>
  <c r="S21" i="14"/>
  <c r="V21" i="14" s="1"/>
  <c r="S10" i="14"/>
  <c r="V10" i="14" s="1"/>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AZ21" i="11"/>
  <c r="V22" i="11"/>
  <c r="V29" i="11"/>
  <c r="BH28" i="16"/>
  <c r="S28" i="14"/>
  <c r="V28" i="14" s="1"/>
  <c r="BI18" i="11"/>
  <c r="BH20" i="11"/>
  <c r="V28" i="11"/>
  <c r="BK25" i="11"/>
  <c r="BM25" i="11"/>
  <c r="Q10" i="21"/>
  <c r="BI10" i="11"/>
  <c r="BG29" i="11"/>
  <c r="S9" i="17"/>
  <c r="AZ29" i="11"/>
  <c r="S18" i="16"/>
  <c r="BF25" i="11"/>
  <c r="BK12" i="11"/>
  <c r="BI28" i="11"/>
  <c r="BL18" i="11"/>
  <c r="BJ19" i="11"/>
  <c r="BF19" i="11"/>
  <c r="BH18" i="16"/>
  <c r="BL9" i="11"/>
  <c r="BH21" i="16"/>
  <c r="BF11" i="11"/>
  <c r="K9" i="12"/>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S23" i="16" s="1"/>
  <c r="S31"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L19" i="11"/>
  <c r="BJ18" i="11"/>
  <c r="BM17" i="11"/>
  <c r="BF21" i="11"/>
  <c r="BF17" i="11"/>
  <c r="P17" i="11" s="1"/>
  <c r="BL12" i="11"/>
  <c r="BK11" i="11"/>
  <c r="AP10" i="21"/>
  <c r="BH20" i="16"/>
  <c r="BH22" i="16"/>
  <c r="BJ20" i="11"/>
  <c r="BH13" i="11"/>
  <c r="BH18" i="11"/>
  <c r="T18" i="16"/>
  <c r="BL29" i="11"/>
  <c r="P29" i="11" s="1"/>
  <c r="T16" i="16"/>
  <c r="BW20" i="20"/>
  <c r="BV19" i="16"/>
  <c r="BV18" i="16"/>
  <c r="BW18" i="20"/>
  <c r="BV12" i="16"/>
  <c r="BW12" i="20"/>
  <c r="BV16" i="16"/>
  <c r="BV23" i="16" s="1"/>
  <c r="BV26" i="16" s="1"/>
  <c r="BV30" i="16" s="1"/>
  <c r="BW11" i="20"/>
  <c r="S21" i="17"/>
  <c r="BW28" i="20"/>
  <c r="BU13" i="17"/>
  <c r="BW21" i="20"/>
  <c r="BV9" i="16"/>
  <c r="AA29" i="16"/>
  <c r="AA18" i="16"/>
  <c r="AZ12" i="11"/>
  <c r="AZ11" i="11"/>
  <c r="Q18" i="17"/>
  <c r="BH10" i="11"/>
  <c r="AQ10" i="21"/>
  <c r="AO29" i="17"/>
  <c r="S10" i="17"/>
  <c r="BI29" i="11"/>
  <c r="BG17" i="11"/>
  <c r="BM21" i="11"/>
  <c r="P21" i="11" s="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BM16" i="11"/>
  <c r="AO28" i="17"/>
  <c r="BJ25" i="11"/>
  <c r="AZ16" i="11"/>
  <c r="AZ23" i="11" s="1"/>
  <c r="AZ26" i="11" s="1"/>
  <c r="BU16" i="17"/>
  <c r="BW19" i="20"/>
  <c r="X20" i="16"/>
  <c r="BU10" i="17"/>
  <c r="BW25" i="20"/>
  <c r="BU22" i="17"/>
  <c r="X21" i="16"/>
  <c r="BU9" i="17"/>
  <c r="BU33" i="17" s="1"/>
  <c r="BU19" i="17"/>
  <c r="BW10" i="20"/>
  <c r="BW33" i="20" s="1"/>
  <c r="BV22" i="16"/>
  <c r="BU12" i="17"/>
  <c r="S25" i="17"/>
  <c r="AZ20" i="11"/>
  <c r="BG12" i="11"/>
  <c r="BI9" i="11"/>
  <c r="BL10" i="11"/>
  <c r="BH11" i="11"/>
  <c r="BM9" i="11"/>
  <c r="Q9" i="11" s="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E14" i="8"/>
  <c r="Q21" i="11"/>
  <c r="P9" i="11"/>
  <c r="Q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BJ23" i="11"/>
  <c r="BK23" i="11"/>
  <c r="AQ17" i="11"/>
  <c r="P13" i="11"/>
  <c r="Q13" i="11"/>
  <c r="AZ14" i="11"/>
  <c r="AZ31" i="11"/>
  <c r="BI23" i="11"/>
  <c r="U14" i="17"/>
  <c r="P20" i="11"/>
  <c r="Q25" i="11"/>
  <c r="BK14" i="11"/>
  <c r="Q23" i="17"/>
  <c r="Q31"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<sst xmlns="http://schemas.openxmlformats.org/spreadsheetml/2006/main" count="2648" uniqueCount="1174">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</sst>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BUMwHZhcs2s6OPYC/XxMAy+2gHAdkzxHPH8BlIniRFEUPSXocthg2+NIggFQLkqjTFJNMUlFSgqJLnViEi//Q==" saltValue="ClpmiSWtUelu3bX1XtI9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CATALUÑA</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12.361198501872657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119</v>
      </c>
      <c r="D10" s="239">
        <f>IF(ISNUMBER(Datos!I10),Datos!I10," - ")</f>
        <v>119</v>
      </c>
      <c r="E10" s="240">
        <f>IF(ISNUMBER(Datos!J10),Datos!J10," - ")</f>
        <v>198</v>
      </c>
      <c r="F10" s="240">
        <f>IF(ISNUMBER(Datos!K10),Datos!K10," - ")</f>
        <v>202</v>
      </c>
      <c r="G10" s="1390" t="str">
        <f>IF(Datos!E10&lt;&gt;"",Datos!E10,Datos!D10)</f>
        <v>37</v>
      </c>
      <c r="H10" s="241">
        <f>IF(ISNUMBER(Datos!L10),Datos!L10," - ")</f>
        <v>115</v>
      </c>
      <c r="I10" s="1400" t="str">
        <f>IF(ISNUMBER(Datos!AS10/Datos!BM10),Datos!AS10/Datos!BM10," - ")</f>
        <v xml:space="preserve"> - </v>
      </c>
      <c r="J10" s="1401">
        <f>IF(ISNUMBER(Datos!BY10/Datos!CN10),Datos!BY10/Datos!CN10," - ")</f>
        <v>0</v>
      </c>
      <c r="K10" s="244">
        <f t="shared" ref="K10:K13" si="1">IF(ISNUMBER((E10-F10)/C10),(E10-F10)/C10," - ")</f>
        <v>-3.3613445378151259E-2</v>
      </c>
      <c r="L10" s="1402">
        <f>IF(ISNUMBER(NºAsuntos!I10/NºAsuntos!G10),(NºAsuntos!I10/NºAsuntos!G10)*11," - ")</f>
        <v>6.2623762376237622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4.1477272727272725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119</v>
      </c>
      <c r="D14" s="1407">
        <f>SUBTOTAL(9,D9:D13)</f>
        <v>119</v>
      </c>
      <c r="E14" s="1408">
        <f>SUBTOTAL(9,E9:E13)</f>
        <v>198</v>
      </c>
      <c r="F14" s="1409">
        <f>SUBTOTAL(9,F9:F13)</f>
        <v>202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4802</v>
      </c>
      <c r="D16" s="239">
        <f>IF(ISNUMBER(IF(D_I="SI",Datos!I16,Datos!I16+Datos!AC16)),IF(D_I="SI",Datos!I16,Datos!I16+Datos!AC16)," - ")</f>
        <v>4688</v>
      </c>
      <c r="E16" s="240">
        <f>IF(ISNUMBER(IF(D_I="SI",Datos!J16,Datos!J16+Datos!AD16)),IF(D_I="SI",Datos!J16,Datos!J16+Datos!AD16)," - ")</f>
        <v>13006</v>
      </c>
      <c r="F16" s="240">
        <f>IF(ISNUMBER(IF(D_I="SI",Datos!K16,Datos!K16+Datos!AE16)),IF(D_I="SI",Datos!K16,Datos!K16+Datos!AE16)," - ")</f>
        <v>12021</v>
      </c>
      <c r="G16" s="1390" t="str">
        <f>IF(Datos!E16&lt;&gt;"",Datos!E16,Datos!D16)</f>
        <v>03</v>
      </c>
      <c r="H16" s="241">
        <f>IF(ISNUMBER(IF(D_I="SI",Datos!L16,Datos!L16+Datos!AF16)),IF(D_I="SI",Datos!L16,Datos!L16+Datos!AF16)," - ")</f>
        <v>5787</v>
      </c>
      <c r="I16" s="1400" t="str">
        <f>IF(ISNUMBER(Datos!AS16/Datos!BM16),Datos!AS16/Datos!BM16," - ")</f>
        <v xml:space="preserve"> - </v>
      </c>
      <c r="J16" s="1401">
        <f>IF(ISNUMBER(Datos!BY16/Datos!CN16),Datos!BY16/Datos!CN16," - ")</f>
        <v>0</v>
      </c>
      <c r="K16" s="244">
        <f t="shared" ref="K16:K22" si="3">IF(ISNUMBER((E16-F16)/C16),(E16-F16)/C16," - ")</f>
        <v>0.20512286547271971</v>
      </c>
      <c r="L16" s="1402">
        <f>IF(ISNUMBER(NºAsuntos!I16/NºAsuntos!G16),(NºAsuntos!I16/NºAsuntos!G16)*11," - ")</f>
        <v>5.2954829049163958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223</v>
      </c>
      <c r="D18" s="239">
        <f>IF(ISNUMBER(IF(D_I="SI",Datos!I18,Datos!I18+Datos!AC18)),IF(D_I="SI",Datos!I18,Datos!I18+Datos!AC18)," - ")</f>
        <v>223</v>
      </c>
      <c r="E18" s="240">
        <f>IF(ISNUMBER(IF(D_I="SI",Datos!J18,Datos!J18+Datos!AD18)),IF(D_I="SI",Datos!J18,Datos!J18+Datos!AD18)," - ")</f>
        <v>1174</v>
      </c>
      <c r="F18" s="240">
        <f>IF(ISNUMBER(IF(D_I="SI",Datos!K18,Datos!K18+Datos!AE18)),IF(D_I="SI",Datos!K18,Datos!K18+Datos!AE18)," - ")</f>
        <v>1178</v>
      </c>
      <c r="G18" s="1390" t="str">
        <f>IF(Datos!E18&lt;&gt;"",Datos!E18,Datos!D18)</f>
        <v>37</v>
      </c>
      <c r="H18" s="241">
        <f>IF(ISNUMBER(IF(D_I="SI",Datos!L18,Datos!L18+Datos!AF18)),IF(D_I="SI",Datos!L18,Datos!L18+Datos!AF18)," - ")</f>
        <v>219</v>
      </c>
      <c r="I18" s="1400" t="str">
        <f>IF(ISNUMBER(Datos!AS18/Datos!BM18),Datos!AS18/Datos!BM18," - ")</f>
        <v xml:space="preserve"> - </v>
      </c>
      <c r="J18" s="1401" t="str">
        <f>IF(ISNUMBER((Datos!BY18+Datos!BZ18)/Datos!CN18),(Datos!BY18+Datos!BZ18)/Datos!CN18," - ")</f>
        <v xml:space="preserve"> - </v>
      </c>
      <c r="K18" s="244">
        <f t="shared" si="3"/>
        <v>-1.7937219730941704E-2</v>
      </c>
      <c r="L18" s="1402">
        <f>IF(ISNUMBER(NºAsuntos!I18/NºAsuntos!G18),(NºAsuntos!I18/NºAsuntos!G18)*11," - ")</f>
        <v>2.0449915110356538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4</v>
      </c>
      <c r="B21" s="1461" t="str">
        <f>Datos!A21</f>
        <v xml:space="preserve">Jdos. de lo Penal                               </v>
      </c>
      <c r="C21" s="239">
        <f t="shared" si="2"/>
        <v>1842</v>
      </c>
      <c r="D21" s="239">
        <f>IF(ISNUMBER(Datos!I21),Datos!I21," - ")</f>
        <v>1845</v>
      </c>
      <c r="E21" s="240">
        <f>IF(ISNUMBER(Datos!J21),Datos!J21," - ")</f>
        <v>1406</v>
      </c>
      <c r="F21" s="240">
        <f>IF(ISNUMBER(Datos!K21),Datos!K21," - ")</f>
        <v>1318</v>
      </c>
      <c r="G21" s="1390" t="str">
        <f>IF(Datos!E21&lt;&gt;"",Datos!E21,Datos!D21)</f>
        <v>09</v>
      </c>
      <c r="H21" s="241">
        <f>IF(ISNUMBER(Datos!L21),Datos!L21," - ")</f>
        <v>1930</v>
      </c>
      <c r="I21" s="1400" t="str">
        <f>IF(ISNUMBER(Datos!AS21/Datos!BM21),Datos!AS21/Datos!BM21," - ")</f>
        <v xml:space="preserve"> - </v>
      </c>
      <c r="J21" s="1401" t="str">
        <f>IF(ISNUMBER(Datos!BY21/Datos!CN21),Datos!BY21/Datos!CN21," - ")</f>
        <v xml:space="preserve"> - </v>
      </c>
      <c r="K21" s="244">
        <f t="shared" si="3"/>
        <v>4.7774158523344191E-2</v>
      </c>
      <c r="L21" s="1402">
        <f>IF(ISNUMBER(NºAsuntos!I21/NºAsuntos!G21),(NºAsuntos!I21/NºAsuntos!G21)*11," - ")</f>
        <v>16.107738998482549</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6867</v>
      </c>
      <c r="D23" s="1407">
        <f>SUBTOTAL(9,D16:D22)</f>
        <v>6756</v>
      </c>
      <c r="E23" s="1408">
        <f>SUBTOTAL(9,E16:E22)</f>
        <v>15586</v>
      </c>
      <c r="F23" s="1408">
        <f>SUBTOTAL(9,F16:F22)</f>
        <v>14517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3</v>
      </c>
      <c r="B28" s="1461" t="str">
        <f>Datos!A28</f>
        <v xml:space="preserve">Jdos. de lo Social                              </v>
      </c>
      <c r="C28" s="239">
        <f>IF(ISNUMBER(H28-E28+F28),H28-E28+F28," - ")</f>
        <v>2992</v>
      </c>
      <c r="D28" s="239">
        <f>IF(ISNUMBER(Datos!I28),Datos!I28," - ")</f>
        <v>3018</v>
      </c>
      <c r="E28" s="240">
        <f>IF(ISNUMBER(Datos!J28),Datos!J28," - ")</f>
        <v>2776</v>
      </c>
      <c r="F28" s="240">
        <f>IF(ISNUMBER(Datos!K28),Datos!K28," - ")</f>
        <v>3243</v>
      </c>
      <c r="G28" s="1390" t="str">
        <f>IF(Datos!E28&lt;&gt;"",Datos!E28,Datos!D28)</f>
        <v>05</v>
      </c>
      <c r="H28" s="241">
        <f>IF(ISNUMBER(Datos!L28),Datos!L28," - ")</f>
        <v>2525</v>
      </c>
      <c r="I28" s="1400" t="str">
        <f>IF(ISNUMBER(Datos!AS28/Datos!BM28),Datos!AS28/Datos!BM28," - ")</f>
        <v xml:space="preserve"> - </v>
      </c>
      <c r="J28" s="1401" t="str">
        <f>IF(ISNUMBER(Datos!BY28/Datos!CN28),Datos!BY28/Datos!CN28," - ")</f>
        <v xml:space="preserve"> - </v>
      </c>
      <c r="K28" s="244">
        <f>IF(ISNUMBER((E28-F28)/C28),(E28-F28)/C28," - ")</f>
        <v>-0.15608288770053477</v>
      </c>
      <c r="L28" s="1402">
        <f>IF(ISNUMBER(NºAsuntos!I28/NºAsuntos!G28),(NºAsuntos!I28/NºAsuntos!G28)*11," - ")</f>
        <v>8.5646006783842132</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2992</v>
      </c>
      <c r="D30" s="1407">
        <f>SUBTOTAL(9,D28:D29)</f>
        <v>3018</v>
      </c>
      <c r="E30" s="1408">
        <f>SUBTOTAL(9,E28:E29)</f>
        <v>2776</v>
      </c>
      <c r="F30" s="1408">
        <f>SUBTOTAL(9,F28:F29)</f>
        <v>3243</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9978</v>
      </c>
      <c r="D31" s="1435">
        <f>SUBTOTAL(9,D9:D30)</f>
        <v>9893</v>
      </c>
      <c r="E31" s="1436">
        <f>SUBTOTAL(9,E9:E30)</f>
        <v>18560</v>
      </c>
      <c r="F31" s="1436">
        <f>SUBTOTAL(9,F9:F30)</f>
        <v>17962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TGbrH5Y1fUF707STXkCxv9cTUul0p44RhuGzXQjOQete2GQwkzvC1uLrTXZh05AWPTBUVi2m8azOdCmrNO0fxg==" saltValue="/OL9iKuFEc/BZXd4hoTI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GO2idS1HMsiaMulGhTVs1d/HI/DrGYleu+Fisli+979G2IZezpv/Di3izhsJFK0U+OA14rqtVmvwzhJuU/eSNw==" saltValue="Knll3Ky4eh8/yEqxutat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v>12903</v>
      </c>
      <c r="J9" s="194">
        <v>14209</v>
      </c>
      <c r="K9" s="194">
        <v>12625</v>
      </c>
      <c r="L9" s="194">
        <v>14555</v>
      </c>
      <c r="M9" s="194">
        <v>2546</v>
      </c>
      <c r="N9" s="194">
        <v>6138</v>
      </c>
      <c r="O9" s="194">
        <v>6076</v>
      </c>
      <c r="P9" s="194">
        <v>3505</v>
      </c>
      <c r="Q9" s="194">
        <v>2780</v>
      </c>
      <c r="R9" s="194">
        <v>16473</v>
      </c>
      <c r="S9" s="194">
        <v>11934</v>
      </c>
      <c r="T9" s="194">
        <v>11590</v>
      </c>
      <c r="U9" s="194">
        <v>10620</v>
      </c>
      <c r="V9" s="194">
        <v>12903</v>
      </c>
      <c r="W9" s="194">
        <v>2407</v>
      </c>
      <c r="X9" s="201">
        <v>5034</v>
      </c>
      <c r="Y9" s="204">
        <v>301</v>
      </c>
      <c r="Z9" s="194">
        <v>871</v>
      </c>
      <c r="AA9" s="194">
        <v>725</v>
      </c>
      <c r="AB9" s="194">
        <v>447</v>
      </c>
      <c r="AC9" s="194">
        <v>0</v>
      </c>
      <c r="AD9" s="194">
        <v>0</v>
      </c>
      <c r="AE9" s="194">
        <v>0</v>
      </c>
      <c r="AF9" s="201">
        <v>0</v>
      </c>
      <c r="AG9" s="204">
        <v>312</v>
      </c>
      <c r="AH9" s="194">
        <v>661</v>
      </c>
      <c r="AI9" s="194">
        <v>672</v>
      </c>
      <c r="AJ9" s="205">
        <v>301</v>
      </c>
      <c r="AK9" s="193">
        <v>0</v>
      </c>
      <c r="AL9" s="194">
        <v>0</v>
      </c>
      <c r="AM9" s="194">
        <v>0</v>
      </c>
      <c r="AN9" s="201">
        <v>0</v>
      </c>
      <c r="AO9" s="282">
        <v>8</v>
      </c>
      <c r="AP9" s="167">
        <v>8</v>
      </c>
      <c r="AQ9" s="167">
        <v>8</v>
      </c>
      <c r="AR9" s="206">
        <v>8</v>
      </c>
      <c r="AS9" s="379" t="s">
        <v>1056</v>
      </c>
      <c r="AT9" s="208"/>
      <c r="AU9" s="207"/>
      <c r="AV9" s="208"/>
      <c r="AW9" s="207"/>
      <c r="AX9" s="208"/>
      <c r="AY9" s="133">
        <f>IF(ISNUMBER(IF(J_V="SI",S9,S9+AG9)),IF(J_V="SI",S9,S9+AG9)," - ")</f>
        <v>12246</v>
      </c>
      <c r="AZ9" s="133">
        <f>IF(ISNUMBER(IF(J_V="SI",T9,T9+AH9)),IF(J_V="SI",T9,T9+AH9)," - ")</f>
        <v>12251</v>
      </c>
      <c r="BA9" s="134">
        <f>IF(ISNUMBER(IF(J_V="SI",U9,U9+AI9)),IF(J_V="SI",U9,U9+AI9)," - ")</f>
        <v>11292</v>
      </c>
      <c r="BB9" s="134">
        <f>IF(ISNUMBER(IF(J_V="SI",V9,V9+AJ9)),IF(J_V="SI",V9,V9+AJ9)," - ")</f>
        <v>13204</v>
      </c>
      <c r="BC9" s="135">
        <f>IF(ISNUMBER(X9),X9," - ")</f>
        <v>5034</v>
      </c>
      <c r="BD9" s="136">
        <f>IF(ISNUMBER(BA9/AZ9),BA9/AZ9," - ")</f>
        <v>0.92172067586319484</v>
      </c>
      <c r="BE9" s="137">
        <f>IF(ISNUMBER(BB9/BA9),BB9/BA9, " - ")</f>
        <v>1.1693234148069429</v>
      </c>
      <c r="BF9" s="137">
        <f>IF(ISNUMBER(BC9/BA9),BC9/BA9, " - ")</f>
        <v>0.44580233793836344</v>
      </c>
      <c r="BG9" s="209">
        <f>IF(ISNUMBER((AY9+AZ9)/BA9),(AY9+AZ9)/BA9," - ")</f>
        <v>2.1694119730782857</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119</v>
      </c>
      <c r="J10" s="194">
        <v>198</v>
      </c>
      <c r="K10" s="194">
        <v>202</v>
      </c>
      <c r="L10" s="194">
        <v>115</v>
      </c>
      <c r="M10" s="194">
        <v>62</v>
      </c>
      <c r="N10" s="194">
        <v>53</v>
      </c>
      <c r="O10" s="194">
        <v>48</v>
      </c>
      <c r="P10" s="194">
        <v>53</v>
      </c>
      <c r="Q10" s="194">
        <v>39</v>
      </c>
      <c r="R10" s="194">
        <v>148</v>
      </c>
      <c r="S10" s="194">
        <v>112</v>
      </c>
      <c r="T10" s="194">
        <v>202</v>
      </c>
      <c r="U10" s="194">
        <v>195</v>
      </c>
      <c r="V10" s="194">
        <v>119</v>
      </c>
      <c r="W10" s="194">
        <v>70</v>
      </c>
      <c r="X10" s="201">
        <v>60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1050</v>
      </c>
      <c r="AT10" s="205"/>
      <c r="AU10" s="213"/>
      <c r="AV10" s="205"/>
      <c r="AW10" s="213"/>
      <c r="AX10" s="205"/>
      <c r="AY10" s="138">
        <f t="shared" ref="AY10:BC10" si="0">IF(ISNUMBER(S10),S10," - ")</f>
        <v>112</v>
      </c>
      <c r="AZ10" s="139">
        <f t="shared" si="0"/>
        <v>202</v>
      </c>
      <c r="BA10" s="139">
        <f t="shared" si="0"/>
        <v>195</v>
      </c>
      <c r="BB10" s="139">
        <f t="shared" si="0"/>
        <v>119</v>
      </c>
      <c r="BC10" s="135">
        <f t="shared" si="0"/>
        <v>70</v>
      </c>
      <c r="BD10" s="136">
        <f>IF(ISNUMBER(BA10/AZ10),BA10/AZ10," - ")</f>
        <v>0.96534653465346532</v>
      </c>
      <c r="BE10" s="137">
        <f>IF(ISNUMBER(BB10/BA10),BB10/BA10, " - ")</f>
        <v>0.61025641025641031</v>
      </c>
      <c r="BF10" s="137">
        <f>IF(ISNUMBER(BC10/BA10),BC10/BA10, " - ")</f>
        <v>0.35897435897435898</v>
      </c>
      <c r="BG10" s="209">
        <f>IF(ISNUMBER((AY10+AZ10)/BA10),(AY10+AZ10)/BA10," - ")</f>
        <v>1.6102564102564103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v>1101</v>
      </c>
      <c r="J11" s="196">
        <v>2111</v>
      </c>
      <c r="K11" s="196">
        <v>2118</v>
      </c>
      <c r="L11" s="196">
        <v>1074</v>
      </c>
      <c r="M11" s="196">
        <v>889</v>
      </c>
      <c r="N11" s="196">
        <v>1349</v>
      </c>
      <c r="O11" s="194">
        <v>696</v>
      </c>
      <c r="P11" s="196">
        <v>227</v>
      </c>
      <c r="Q11" s="196">
        <v>558</v>
      </c>
      <c r="R11" s="196">
        <v>722</v>
      </c>
      <c r="S11" s="196">
        <v>1328</v>
      </c>
      <c r="T11" s="196">
        <v>1984</v>
      </c>
      <c r="U11" s="196">
        <v>2108</v>
      </c>
      <c r="V11" s="196">
        <v>1101</v>
      </c>
      <c r="W11" s="196">
        <v>1024</v>
      </c>
      <c r="X11" s="202">
        <v>1205</v>
      </c>
      <c r="Y11" s="204">
        <v>71</v>
      </c>
      <c r="Z11" s="194">
        <v>779</v>
      </c>
      <c r="AA11" s="194">
        <v>786</v>
      </c>
      <c r="AB11" s="194">
        <v>21</v>
      </c>
      <c r="AC11" s="196">
        <v>0</v>
      </c>
      <c r="AD11" s="196">
        <v>0</v>
      </c>
      <c r="AE11" s="196">
        <v>0</v>
      </c>
      <c r="AF11" s="202">
        <v>0</v>
      </c>
      <c r="AG11" s="215">
        <v>29</v>
      </c>
      <c r="AH11" s="196">
        <v>791</v>
      </c>
      <c r="AI11" s="196">
        <v>772</v>
      </c>
      <c r="AJ11" s="216">
        <v>71</v>
      </c>
      <c r="AK11" s="195">
        <v>0</v>
      </c>
      <c r="AL11" s="196">
        <v>0</v>
      </c>
      <c r="AM11" s="196">
        <v>0</v>
      </c>
      <c r="AN11" s="202">
        <v>0</v>
      </c>
      <c r="AO11" s="283">
        <v>2</v>
      </c>
      <c r="AP11" s="168">
        <v>2</v>
      </c>
      <c r="AQ11" s="168">
        <v>2</v>
      </c>
      <c r="AR11" s="167">
        <v>2</v>
      </c>
      <c r="AS11" s="381" t="s">
        <v>1058</v>
      </c>
      <c r="AT11" s="216"/>
      <c r="AU11" s="215"/>
      <c r="AV11" s="216"/>
      <c r="AW11" s="215"/>
      <c r="AX11" s="216"/>
      <c r="AY11" s="136">
        <f t="shared" ref="AY11:BB12" si="1">IF(ISNUMBER(IF(J_V="SI",S11,S11+AG11)),IF(J_V="SI",S11,S11+AG11)," - ")</f>
        <v>1357</v>
      </c>
      <c r="AZ11" s="137">
        <f t="shared" si="1"/>
        <v>2775</v>
      </c>
      <c r="BA11" s="137">
        <f t="shared" si="1"/>
        <v>2880</v>
      </c>
      <c r="BB11" s="137">
        <f t="shared" si="1"/>
        <v>1172</v>
      </c>
      <c r="BC11" s="135">
        <f>IF(ISNUMBER(X11),X11," - ")</f>
        <v>1205</v>
      </c>
      <c r="BD11" s="136">
        <f t="shared" ref="BD11:BD13" si="2">IF(ISNUMBER(BA11/AZ11),BA11/AZ11," - ")</f>
        <v>1.0378378378378379</v>
      </c>
      <c r="BE11" s="137">
        <f t="shared" ref="BE11:BE13" si="3">IF(ISNUMBER(BB11/BA11),BB11/BA11, " - ")</f>
        <v>0.40694444444444444</v>
      </c>
      <c r="BF11" s="137">
        <f t="shared" ref="BF11:BF13" si="4">IF(ISNUMBER(BC11/BA11),BC11/BA11, " - ")</f>
        <v>0.41840277777777779</v>
      </c>
      <c r="BG11" s="209">
        <f t="shared" ref="BG11:BG13" si="5">IF(ISNUMBER((AY11+AZ11)/BA11),(AY11+AZ11)/BA11," - ")</f>
        <v>1.4347222222222222</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t="s">
        <v>1070</v>
      </c>
      <c r="J12" s="196" t="s">
        <v>1057</v>
      </c>
      <c r="K12" s="196" t="s">
        <v>1133</v>
      </c>
      <c r="L12" s="196" t="s">
        <v>1075</v>
      </c>
      <c r="M12" s="196" t="s">
        <v>646</v>
      </c>
      <c r="N12" s="196" t="s">
        <v>661</v>
      </c>
      <c r="O12" s="194" t="s">
        <v>282</v>
      </c>
      <c r="P12" s="196" t="s">
        <v>54</v>
      </c>
      <c r="Q12" s="196" t="s">
        <v>55</v>
      </c>
      <c r="R12" s="196" t="s">
        <v>122</v>
      </c>
      <c r="S12" s="196"/>
      <c r="T12" s="196"/>
      <c r="U12" s="196"/>
      <c r="V12" s="196"/>
      <c r="W12" s="196"/>
      <c r="X12" s="202"/>
      <c r="Y12" s="204" t="s">
        <v>175</v>
      </c>
      <c r="Z12" s="194" t="s">
        <v>176</v>
      </c>
      <c r="AA12" s="194" t="s">
        <v>177</v>
      </c>
      <c r="AB12" s="194" t="s">
        <v>178</v>
      </c>
      <c r="AC12" s="196"/>
      <c r="AD12" s="196"/>
      <c r="AE12" s="196"/>
      <c r="AF12" s="202"/>
      <c r="AG12" s="215"/>
      <c r="AH12" s="196"/>
      <c r="AI12" s="196"/>
      <c r="AJ12" s="216"/>
      <c r="AK12" s="195"/>
      <c r="AL12" s="196"/>
      <c r="AM12" s="196"/>
      <c r="AN12" s="202"/>
      <c r="AO12" s="283">
        <v>0</v>
      </c>
      <c r="AP12" s="168">
        <v>0</v>
      </c>
      <c r="AQ12" s="168">
        <v>0</v>
      </c>
      <c r="AR12" s="167">
        <v>0</v>
      </c>
      <c r="AS12" s="381" t="s">
        <v>1059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14123</v>
      </c>
      <c r="J14" s="197">
        <f t="shared" si="7"/>
        <v>16518</v>
      </c>
      <c r="K14" s="197">
        <f t="shared" si="7"/>
        <v>14945</v>
      </c>
      <c r="L14" s="197">
        <f t="shared" si="7"/>
        <v>15744</v>
      </c>
      <c r="M14" s="197">
        <f t="shared" si="7"/>
        <v>3497</v>
      </c>
      <c r="N14" s="197">
        <f t="shared" si="7"/>
        <v>7540</v>
      </c>
      <c r="O14" s="197">
        <f t="shared" si="7"/>
        <v>6820</v>
      </c>
      <c r="P14" s="197">
        <f t="shared" si="7"/>
        <v>3785</v>
      </c>
      <c r="Q14" s="197">
        <f t="shared" si="7"/>
        <v>3377</v>
      </c>
      <c r="R14" s="197">
        <f t="shared" si="7"/>
        <v>17343</v>
      </c>
      <c r="S14" s="197">
        <f t="shared" si="7"/>
        <v>13374</v>
      </c>
      <c r="T14" s="197">
        <f t="shared" si="7"/>
        <v>13776</v>
      </c>
      <c r="U14" s="197">
        <f t="shared" si="7"/>
        <v>12923</v>
      </c>
      <c r="V14" s="197">
        <f t="shared" si="7"/>
        <v>14123</v>
      </c>
      <c r="W14" s="197">
        <f t="shared" si="7"/>
        <v>3501</v>
      </c>
      <c r="X14" s="197">
        <f t="shared" si="7"/>
        <v>6299</v>
      </c>
      <c r="Y14" s="197">
        <f t="shared" si="7"/>
        <v>372</v>
      </c>
      <c r="Z14" s="197">
        <f t="shared" si="7"/>
        <v>1650</v>
      </c>
      <c r="AA14" s="197">
        <f t="shared" si="7"/>
        <v>1511</v>
      </c>
      <c r="AB14" s="197">
        <f t="shared" si="7"/>
        <v>468</v>
      </c>
      <c r="AC14" s="197">
        <f t="shared" si="7"/>
        <v>0</v>
      </c>
      <c r="AD14" s="197">
        <f t="shared" si="7"/>
        <v>0</v>
      </c>
      <c r="AE14" s="197">
        <f t="shared" si="7"/>
        <v>0</v>
      </c>
      <c r="AF14" s="197">
        <f>SUBTOTAL(9,AF9:AF13)</f>
        <v>0</v>
      </c>
      <c r="AG14" s="197">
        <f t="shared" ref="AG14:AT14" si="8">SUBTOTAL(9,AG8:AG13)</f>
        <v>341</v>
      </c>
      <c r="AH14" s="197">
        <f t="shared" si="8"/>
        <v>1452</v>
      </c>
      <c r="AI14" s="197">
        <f t="shared" si="8"/>
        <v>1444</v>
      </c>
      <c r="AJ14" s="197">
        <f t="shared" si="8"/>
        <v>372</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13715</v>
      </c>
      <c r="AZ14" s="197">
        <f>SUBTOTAL(9,AZ8:AZ13)</f>
        <v>15228</v>
      </c>
      <c r="BA14" s="197">
        <f>SUBTOTAL(9,BA8:BA13)</f>
        <v>14367</v>
      </c>
      <c r="BB14" s="197">
        <f>SUBTOTAL(9,BB8:BB13)</f>
        <v>14495</v>
      </c>
      <c r="BC14" s="197">
        <f>SUBTOTAL(9,BC8:BC13)</f>
        <v>6309</v>
      </c>
      <c r="BD14" s="219">
        <f>IF(ISNUMBER(BA14/AZ14),BA14/AZ14," - ")</f>
        <v>0.94345941686367218</v>
      </c>
      <c r="BE14" s="220">
        <f>IF(ISNUMBER(BB14/BA14),BB14/BA14, " - ")</f>
        <v>1.0089093060485836</v>
      </c>
      <c r="BF14" s="220">
        <f>IF(ISNUMBER(BC14/BA14),BC14/BA14, " - ")</f>
        <v>0.4391313426602631</v>
      </c>
      <c r="BG14" s="221">
        <f>IF(ISNUMBER((AY14+AZ14)/BA14),(AY14+AZ14)/BA14," - ")</f>
        <v>2.0145472262824526</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v>4688</v>
      </c>
      <c r="J16" s="196">
        <v>13006</v>
      </c>
      <c r="K16" s="196">
        <v>12021</v>
      </c>
      <c r="L16" s="196">
        <v>5787</v>
      </c>
      <c r="M16" s="196">
        <v>1716</v>
      </c>
      <c r="N16" s="196">
        <v>7079</v>
      </c>
      <c r="O16" s="194">
        <v>148</v>
      </c>
      <c r="P16" s="196">
        <v>439</v>
      </c>
      <c r="Q16" s="196">
        <v>293</v>
      </c>
      <c r="R16" s="196">
        <v>597</v>
      </c>
      <c r="S16" s="196">
        <v>4183</v>
      </c>
      <c r="T16" s="196">
        <v>11661</v>
      </c>
      <c r="U16" s="196">
        <v>11247</v>
      </c>
      <c r="V16" s="196">
        <v>4688</v>
      </c>
      <c r="W16" s="196">
        <v>1487</v>
      </c>
      <c r="X16" s="202">
        <v>7010</v>
      </c>
      <c r="Y16" s="215">
        <v>0</v>
      </c>
      <c r="Z16" s="196">
        <v>0</v>
      </c>
      <c r="AA16" s="196">
        <v>0</v>
      </c>
      <c r="AB16" s="196">
        <v>0</v>
      </c>
      <c r="AC16" s="196">
        <v>6</v>
      </c>
      <c r="AD16" s="196">
        <v>266</v>
      </c>
      <c r="AE16" s="196">
        <v>272</v>
      </c>
      <c r="AF16" s="202">
        <v>0</v>
      </c>
      <c r="AG16" s="215">
        <v>0</v>
      </c>
      <c r="AH16" s="196">
        <v>0</v>
      </c>
      <c r="AI16" s="196">
        <v>0</v>
      </c>
      <c r="AJ16" s="216">
        <v>0</v>
      </c>
      <c r="AK16" s="195">
        <v>3</v>
      </c>
      <c r="AL16" s="196">
        <v>453</v>
      </c>
      <c r="AM16" s="196">
        <v>450</v>
      </c>
      <c r="AN16" s="202">
        <v>6</v>
      </c>
      <c r="AO16" s="283">
        <v>5</v>
      </c>
      <c r="AP16" s="168">
        <v>5</v>
      </c>
      <c r="AQ16" s="168">
        <v>5</v>
      </c>
      <c r="AR16" s="168">
        <v>5</v>
      </c>
      <c r="AS16" s="381" t="s">
        <v>688</v>
      </c>
      <c r="AT16" s="216" t="s">
        <v>417</v>
      </c>
      <c r="AU16" s="215"/>
      <c r="AV16" s="216"/>
      <c r="AW16" s="215"/>
      <c r="AX16" s="216"/>
      <c r="AY16" s="138">
        <f t="shared" ref="AY16:BB17" si="10">IF(ISNUMBER(IF(D_I="SI",S16,S16+AK16)),IF(D_I="SI",S16,S16+AK16)," - ")</f>
        <v>4183</v>
      </c>
      <c r="AZ16" s="139">
        <f t="shared" si="10"/>
        <v>11661</v>
      </c>
      <c r="BA16" s="139">
        <f t="shared" si="10"/>
        <v>11247</v>
      </c>
      <c r="BB16" s="139">
        <f t="shared" si="10"/>
        <v>4688</v>
      </c>
      <c r="BC16" s="135">
        <f>IF(ISNUMBER(W16),W16," - ")</f>
        <v>1487</v>
      </c>
      <c r="BD16" s="136">
        <f>IF(ISNUMBER(BA16/AZ16),BA16/AZ16," - ")</f>
        <v>0.96449704142011838</v>
      </c>
      <c r="BE16" s="137">
        <f>IF(ISNUMBER(BB16/BA16),BB16/BA16, " - ")</f>
        <v>0.41682226371476838</v>
      </c>
      <c r="BF16" s="137">
        <f>IF(ISNUMBER(BC16/BA16),BC16/BA16, " - ")</f>
        <v>0.13221303458700098</v>
      </c>
      <c r="BG16" s="209">
        <f t="shared" ref="BG16:BG22" si="11">IF(ISNUMBER((AY16+AZ16)/BA16),(AY16+AZ16)/BA16," - ")</f>
        <v>1.4087312172134792</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t="s">
        <v>644</v>
      </c>
      <c r="J17" s="196" t="s">
        <v>640</v>
      </c>
      <c r="K17" s="196" t="s">
        <v>641</v>
      </c>
      <c r="L17" s="196" t="s">
        <v>642</v>
      </c>
      <c r="M17" s="196" t="s">
        <v>647</v>
      </c>
      <c r="N17" s="196" t="s">
        <v>196</v>
      </c>
      <c r="O17" s="194" t="s">
        <v>283</v>
      </c>
      <c r="P17" s="196" t="s">
        <v>626</v>
      </c>
      <c r="Q17" s="196" t="s">
        <v>627</v>
      </c>
      <c r="R17" s="196" t="s">
        <v>628</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1" t="s">
        <v>643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223</v>
      </c>
      <c r="J18" s="196">
        <v>1174</v>
      </c>
      <c r="K18" s="196">
        <v>1178</v>
      </c>
      <c r="L18" s="196">
        <v>219</v>
      </c>
      <c r="M18" s="196">
        <v>74</v>
      </c>
      <c r="N18" s="196">
        <v>490</v>
      </c>
      <c r="O18" s="196">
        <v>0</v>
      </c>
      <c r="P18" s="196">
        <v>11</v>
      </c>
      <c r="Q18" s="196">
        <v>5</v>
      </c>
      <c r="R18" s="196">
        <v>7</v>
      </c>
      <c r="S18" s="196">
        <v>360</v>
      </c>
      <c r="T18" s="196">
        <v>1051</v>
      </c>
      <c r="U18" s="196">
        <v>1189</v>
      </c>
      <c r="V18" s="196">
        <v>223</v>
      </c>
      <c r="W18" s="196">
        <v>69</v>
      </c>
      <c r="X18" s="202">
        <v>508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1049</v>
      </c>
      <c r="AT18" s="223"/>
      <c r="AU18" s="213"/>
      <c r="AV18" s="223"/>
      <c r="AW18" s="213"/>
      <c r="AX18" s="223"/>
      <c r="AY18" s="138">
        <f t="shared" ref="AY18:BB19" si="15">IF(ISNUMBER(S18),S18," - ")</f>
        <v>360</v>
      </c>
      <c r="AZ18" s="139">
        <f t="shared" si="15"/>
        <v>1051</v>
      </c>
      <c r="BA18" s="139">
        <f t="shared" si="15"/>
        <v>1189</v>
      </c>
      <c r="BB18" s="139">
        <f t="shared" si="15"/>
        <v>223</v>
      </c>
      <c r="BC18" s="135">
        <f>IF(ISNUMBER(W18),W18," - ")</f>
        <v>69</v>
      </c>
      <c r="BD18" s="136">
        <f>IF(ISNUMBER(BA18/AZ18),BA18/AZ18," - ")</f>
        <v>1.1313035204567079</v>
      </c>
      <c r="BE18" s="137">
        <f>IF(ISNUMBER(BB18/BA18),BB18/BA18, " - ")</f>
        <v>0.18755256518082422</v>
      </c>
      <c r="BF18" s="137">
        <f>IF(ISNUMBER(BC18/BA18),BC18/BA18, " - ")</f>
        <v>5.8031959629941128E-2</v>
      </c>
      <c r="BG18" s="209">
        <f>IF(ISNUMBER((AY18+AZ18)/BA18),(AY18+AZ18)/BA18," - ")</f>
        <v>1.1867115222876368</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1845</v>
      </c>
      <c r="J21" s="196">
        <v>1406</v>
      </c>
      <c r="K21" s="196">
        <v>1318</v>
      </c>
      <c r="L21" s="196">
        <v>1930</v>
      </c>
      <c r="M21" s="196">
        <v>1145</v>
      </c>
      <c r="N21" s="196">
        <v>1429</v>
      </c>
      <c r="O21" s="196">
        <v>39</v>
      </c>
      <c r="P21" s="196">
        <v>2031</v>
      </c>
      <c r="Q21" s="196">
        <v>2331</v>
      </c>
      <c r="R21" s="196">
        <v>4274</v>
      </c>
      <c r="S21" s="196">
        <v>1556</v>
      </c>
      <c r="T21" s="196">
        <v>1394</v>
      </c>
      <c r="U21" s="196">
        <v>1408</v>
      </c>
      <c r="V21" s="196">
        <v>1845</v>
      </c>
      <c r="W21" s="196">
        <v>1260</v>
      </c>
      <c r="X21" s="202">
        <v>1789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4</v>
      </c>
      <c r="AP21" s="168">
        <v>4</v>
      </c>
      <c r="AQ21" s="168">
        <v>4</v>
      </c>
      <c r="AR21" s="168">
        <v>4</v>
      </c>
      <c r="AS21" s="381" t="s">
        <v>201</v>
      </c>
      <c r="AT21" s="345"/>
      <c r="AU21" s="215"/>
      <c r="AV21" s="216"/>
      <c r="AW21" s="215"/>
      <c r="AX21" s="216"/>
      <c r="AY21" s="138">
        <f t="shared" si="16"/>
        <v>1556</v>
      </c>
      <c r="AZ21" s="139">
        <f t="shared" si="17"/>
        <v>1394</v>
      </c>
      <c r="BA21" s="139">
        <f t="shared" si="18"/>
        <v>1408</v>
      </c>
      <c r="BB21" s="139">
        <f t="shared" si="19"/>
        <v>1845</v>
      </c>
      <c r="BC21" s="135">
        <f t="shared" si="20"/>
        <v>1260</v>
      </c>
      <c r="BD21" s="136">
        <f t="shared" si="12"/>
        <v>1.0100430416068866</v>
      </c>
      <c r="BE21" s="137">
        <f t="shared" si="13"/>
        <v>1.3103693181818181</v>
      </c>
      <c r="BF21" s="137">
        <f t="shared" si="14"/>
        <v>0.89488636363636365</v>
      </c>
      <c r="BG21" s="209">
        <f t="shared" si="11"/>
        <v>2.0951704545454546</v>
      </c>
      <c r="BH21" s="168">
        <v>4</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6756</v>
      </c>
      <c r="J23" s="197">
        <f t="shared" si="21"/>
        <v>15586</v>
      </c>
      <c r="K23" s="197">
        <f t="shared" si="21"/>
        <v>14517</v>
      </c>
      <c r="L23" s="197">
        <f t="shared" si="21"/>
        <v>7936</v>
      </c>
      <c r="M23" s="197">
        <f t="shared" si="21"/>
        <v>2935</v>
      </c>
      <c r="N23" s="197">
        <f t="shared" si="21"/>
        <v>8998</v>
      </c>
      <c r="O23" s="197">
        <f t="shared" si="21"/>
        <v>187</v>
      </c>
      <c r="P23" s="197">
        <f t="shared" si="21"/>
        <v>2481</v>
      </c>
      <c r="Q23" s="197">
        <f t="shared" si="21"/>
        <v>2629</v>
      </c>
      <c r="R23" s="197">
        <f t="shared" si="21"/>
        <v>4878</v>
      </c>
      <c r="S23" s="197">
        <f t="shared" si="21"/>
        <v>6099</v>
      </c>
      <c r="T23" s="197">
        <f t="shared" si="21"/>
        <v>14106</v>
      </c>
      <c r="U23" s="197">
        <f t="shared" si="21"/>
        <v>13844</v>
      </c>
      <c r="V23" s="197">
        <f t="shared" si="21"/>
        <v>6756</v>
      </c>
      <c r="W23" s="197">
        <f t="shared" si="21"/>
        <v>2816</v>
      </c>
      <c r="X23" s="197">
        <f t="shared" si="21"/>
        <v>9307</v>
      </c>
      <c r="Y23" s="197">
        <f t="shared" si="21"/>
        <v>0</v>
      </c>
      <c r="Z23" s="197">
        <f t="shared" si="21"/>
        <v>0</v>
      </c>
      <c r="AA23" s="197">
        <f t="shared" si="21"/>
        <v>0</v>
      </c>
      <c r="AB23" s="197">
        <f t="shared" si="21"/>
        <v>0</v>
      </c>
      <c r="AC23" s="197">
        <f t="shared" si="21"/>
        <v>6</v>
      </c>
      <c r="AD23" s="197">
        <f t="shared" si="21"/>
        <v>266</v>
      </c>
      <c r="AE23" s="197">
        <f t="shared" si="21"/>
        <v>272</v>
      </c>
      <c r="AF23" s="197">
        <f t="shared" si="21"/>
        <v>0</v>
      </c>
      <c r="AG23" s="197">
        <f t="shared" si="21"/>
        <v>0</v>
      </c>
      <c r="AH23" s="197">
        <f t="shared" si="21"/>
        <v>0</v>
      </c>
      <c r="AI23" s="197">
        <f t="shared" si="21"/>
        <v>0</v>
      </c>
      <c r="AJ23" s="197">
        <f t="shared" si="21"/>
        <v>0</v>
      </c>
      <c r="AK23" s="197">
        <f t="shared" si="21"/>
        <v>3</v>
      </c>
      <c r="AL23" s="197">
        <f t="shared" si="21"/>
        <v>453</v>
      </c>
      <c r="AM23" s="197">
        <f t="shared" si="21"/>
        <v>450</v>
      </c>
      <c r="AN23" s="197">
        <f t="shared" si="21"/>
        <v>6</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6099</v>
      </c>
      <c r="AZ23" s="197">
        <f>SUBTOTAL(9,AZ15:AZ22)</f>
        <v>14106</v>
      </c>
      <c r="BA23" s="197">
        <f>SUBTOTAL(9,BA15:BA22)</f>
        <v>13844</v>
      </c>
      <c r="BB23" s="197">
        <f>SUBTOTAL(9,BB15:BB22)</f>
        <v>6756</v>
      </c>
      <c r="BC23" s="197">
        <f>SUBTOTAL(9,BC15:BC22)</f>
        <v>2816</v>
      </c>
      <c r="BD23" s="219">
        <f>IF(ISNUMBER(BA23/AZ23),BA23/AZ23," - ")</f>
        <v>0.98142634339997159</v>
      </c>
      <c r="BE23" s="220">
        <f>IF(ISNUMBER(BB23/BA23),BB23/BA23, " - ")</f>
        <v>0.48800924588269284</v>
      </c>
      <c r="BF23" s="220">
        <f>IF(ISNUMBER(BC23/BA23),BC23/BA23, " - ")</f>
        <v>0.20340941924299336</v>
      </c>
      <c r="BG23" s="221">
        <f>IF(ISNUMBER((AY23+AZ23)/BA23),(AY23+AZ23)/BA23," - ")</f>
        <v>1.4594770297601849</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3018</v>
      </c>
      <c r="J28" s="196">
        <v>2776</v>
      </c>
      <c r="K28" s="196">
        <v>3243</v>
      </c>
      <c r="L28" s="196">
        <v>2525</v>
      </c>
      <c r="M28" s="196">
        <v>1056</v>
      </c>
      <c r="N28" s="196">
        <v>636</v>
      </c>
      <c r="O28" s="196">
        <v>1648</v>
      </c>
      <c r="P28" s="196">
        <v>157</v>
      </c>
      <c r="Q28" s="196">
        <v>177</v>
      </c>
      <c r="R28" s="196">
        <v>110</v>
      </c>
      <c r="S28" s="196">
        <v>3044</v>
      </c>
      <c r="T28" s="196">
        <v>2780</v>
      </c>
      <c r="U28" s="196">
        <v>2775</v>
      </c>
      <c r="V28" s="196">
        <v>3018</v>
      </c>
      <c r="W28" s="196">
        <v>823</v>
      </c>
      <c r="X28" s="202">
        <v>497</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3</v>
      </c>
      <c r="AP28" s="168">
        <v>3</v>
      </c>
      <c r="AQ28" s="168">
        <v>3</v>
      </c>
      <c r="AR28" s="168">
        <v>3</v>
      </c>
      <c r="AS28" s="381" t="s">
        <v>200</v>
      </c>
      <c r="AT28" s="216"/>
      <c r="AU28" s="215"/>
      <c r="AV28" s="216"/>
      <c r="AW28" s="215"/>
      <c r="AX28" s="216"/>
      <c r="AY28" s="138">
        <f t="shared" ref="AY28:BC29" si="30">IF(ISNUMBER(S28),S28," - ")</f>
        <v>3044</v>
      </c>
      <c r="AZ28" s="139">
        <f t="shared" si="30"/>
        <v>2780</v>
      </c>
      <c r="BA28" s="139">
        <f t="shared" si="30"/>
        <v>2775</v>
      </c>
      <c r="BB28" s="139">
        <f t="shared" si="30"/>
        <v>3018</v>
      </c>
      <c r="BC28" s="135">
        <f t="shared" si="30"/>
        <v>823</v>
      </c>
      <c r="BD28" s="136">
        <f t="shared" ref="BD28:BD30" si="31">IF(ISNUMBER(BA28/AZ28),BA28/AZ28," - ")</f>
        <v>0.99820143884892087</v>
      </c>
      <c r="BE28" s="137">
        <f t="shared" ref="BE28:BE30" si="32">IF(ISNUMBER(BB28/BA28),BB28/BA28, " - ")</f>
        <v>1.0875675675675676</v>
      </c>
      <c r="BF28" s="137">
        <f t="shared" ref="BF28:BF30" si="33">IF(ISNUMBER(BC28/BA28),BC28/BA28, " - ")</f>
        <v>0.2965765765765766</v>
      </c>
      <c r="BG28" s="209">
        <f t="shared" ref="BG28:BG30" si="34">IF(ISNUMBER((AY28+AZ28)/BA28),(AY28+AZ28)/BA28," - ")</f>
        <v>2.0987387387387386</v>
      </c>
      <c r="BH28" s="168">
        <v>3</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3018</v>
      </c>
      <c r="J30" s="197">
        <f t="shared" si="35"/>
        <v>2776</v>
      </c>
      <c r="K30" s="197">
        <f t="shared" si="35"/>
        <v>3243</v>
      </c>
      <c r="L30" s="197">
        <f t="shared" si="35"/>
        <v>2525</v>
      </c>
      <c r="M30" s="197">
        <f t="shared" si="35"/>
        <v>1056</v>
      </c>
      <c r="N30" s="197">
        <f t="shared" si="35"/>
        <v>636</v>
      </c>
      <c r="O30" s="197">
        <f t="shared" si="35"/>
        <v>1648</v>
      </c>
      <c r="P30" s="197">
        <f t="shared" si="35"/>
        <v>157</v>
      </c>
      <c r="Q30" s="197">
        <f t="shared" si="35"/>
        <v>177</v>
      </c>
      <c r="R30" s="197">
        <f t="shared" si="35"/>
        <v>110</v>
      </c>
      <c r="S30" s="197">
        <f t="shared" si="35"/>
        <v>3044</v>
      </c>
      <c r="T30" s="197">
        <f t="shared" si="35"/>
        <v>2780</v>
      </c>
      <c r="U30" s="197">
        <f t="shared" si="35"/>
        <v>2775</v>
      </c>
      <c r="V30" s="197">
        <f t="shared" si="35"/>
        <v>3018</v>
      </c>
      <c r="W30" s="197">
        <f t="shared" si="35"/>
        <v>823</v>
      </c>
      <c r="X30" s="141">
        <f t="shared" si="35"/>
        <v>497</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3</v>
      </c>
      <c r="AP30" s="153">
        <f>SUBTOTAL(9,AP28:AP29)-AP29</f>
        <v>3</v>
      </c>
      <c r="AQ30" s="153">
        <f>SUBTOTAL(9,AQ28:AQ29)</f>
        <v>3</v>
      </c>
      <c r="AR30" s="153">
        <f>SUBTOTAL(9,AR28:AR29)-AR29</f>
        <v>3</v>
      </c>
      <c r="AS30" s="382">
        <f>SUBTOTAL(9,AS25:AS25)</f>
        <v>0</v>
      </c>
      <c r="AT30" s="142"/>
      <c r="AU30" s="217"/>
      <c r="AV30" s="142"/>
      <c r="AW30" s="217"/>
      <c r="AX30" s="142"/>
      <c r="AY30" s="140">
        <f>SUBTOTAL(9,AY28:AY29)</f>
        <v>3044</v>
      </c>
      <c r="AZ30" s="141">
        <f>SUBTOTAL(9,AZ28:AZ29)</f>
        <v>2780</v>
      </c>
      <c r="BA30" s="141">
        <f>SUBTOTAL(9,BA28:BA29)</f>
        <v>2775</v>
      </c>
      <c r="BB30" s="141">
        <f>SUBTOTAL(9,BB28:BB29)</f>
        <v>3018</v>
      </c>
      <c r="BC30" s="142">
        <f>SUBTOTAL(9,BC28:BC29)</f>
        <v>823</v>
      </c>
      <c r="BD30" s="140">
        <f t="shared" si="31"/>
        <v>0.99820143884892087</v>
      </c>
      <c r="BE30" s="141">
        <f t="shared" si="32"/>
        <v>1.0875675675675676</v>
      </c>
      <c r="BF30" s="141">
        <f t="shared" si="33"/>
        <v>0.2965765765765766</v>
      </c>
      <c r="BG30" s="142">
        <f t="shared" si="34"/>
        <v>2.0987387387387386</v>
      </c>
      <c r="BH30" s="153">
        <f>SUBTOTAL(9,BH28:BH29)-BH29</f>
        <v>3</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23897</v>
      </c>
      <c r="J31" s="144">
        <f t="shared" si="36"/>
        <v>34880</v>
      </c>
      <c r="K31" s="144">
        <f t="shared" si="36"/>
        <v>32705</v>
      </c>
      <c r="L31" s="144">
        <f t="shared" si="36"/>
        <v>26205</v>
      </c>
      <c r="M31" s="144">
        <f t="shared" si="36"/>
        <v>7488</v>
      </c>
      <c r="N31" s="144">
        <f t="shared" si="36"/>
        <v>17174</v>
      </c>
      <c r="O31" s="144">
        <f t="shared" si="36"/>
        <v>8655</v>
      </c>
      <c r="P31" s="144">
        <f t="shared" si="36"/>
        <v>6423</v>
      </c>
      <c r="Q31" s="144">
        <f t="shared" si="36"/>
        <v>6183</v>
      </c>
      <c r="R31" s="144">
        <f t="shared" si="36"/>
        <v>22331</v>
      </c>
      <c r="S31" s="144">
        <f t="shared" si="36"/>
        <v>22517</v>
      </c>
      <c r="T31" s="144">
        <f t="shared" si="36"/>
        <v>30662</v>
      </c>
      <c r="U31" s="144">
        <f t="shared" si="36"/>
        <v>29542</v>
      </c>
      <c r="V31" s="144">
        <f t="shared" si="36"/>
        <v>23897</v>
      </c>
      <c r="W31" s="144">
        <f t="shared" si="36"/>
        <v>7140</v>
      </c>
      <c r="X31" s="144">
        <f t="shared" si="36"/>
        <v>16103</v>
      </c>
      <c r="Y31" s="144">
        <f t="shared" si="36"/>
        <v>372</v>
      </c>
      <c r="Z31" s="144">
        <f t="shared" si="36"/>
        <v>1650</v>
      </c>
      <c r="AA31" s="144">
        <f t="shared" si="36"/>
        <v>1511</v>
      </c>
      <c r="AB31" s="144">
        <f t="shared" si="36"/>
        <v>468</v>
      </c>
      <c r="AC31" s="144">
        <f t="shared" si="36"/>
        <v>6</v>
      </c>
      <c r="AD31" s="144">
        <f t="shared" si="36"/>
        <v>266</v>
      </c>
      <c r="AE31" s="144">
        <f t="shared" si="36"/>
        <v>272</v>
      </c>
      <c r="AF31" s="144">
        <f t="shared" si="36"/>
        <v>0</v>
      </c>
      <c r="AG31" s="144">
        <f t="shared" si="36"/>
        <v>341</v>
      </c>
      <c r="AH31" s="144">
        <f t="shared" si="36"/>
        <v>1452</v>
      </c>
      <c r="AI31" s="144">
        <f t="shared" si="36"/>
        <v>1444</v>
      </c>
      <c r="AJ31" s="144">
        <f t="shared" si="36"/>
        <v>372</v>
      </c>
      <c r="AK31" s="144">
        <f t="shared" si="36"/>
        <v>3</v>
      </c>
      <c r="AL31" s="144">
        <f t="shared" si="36"/>
        <v>453</v>
      </c>
      <c r="AM31" s="144">
        <f t="shared" si="36"/>
        <v>450</v>
      </c>
      <c r="AN31" s="224">
        <f t="shared" si="36"/>
        <v>6</v>
      </c>
      <c r="AO31" s="225">
        <v>23</v>
      </c>
      <c r="AP31" s="225">
        <v>23</v>
      </c>
      <c r="AQ31" s="225">
        <v>23</v>
      </c>
      <c r="AR31" s="225">
        <v>23</v>
      </c>
      <c r="AS31" s="166">
        <f t="shared" si="36"/>
        <v>0</v>
      </c>
      <c r="AT31" s="166">
        <f t="shared" si="36"/>
        <v>0</v>
      </c>
      <c r="AU31" s="225"/>
      <c r="AV31" s="226"/>
      <c r="AW31" s="225"/>
      <c r="AX31" s="226"/>
      <c r="AY31" s="143">
        <f>SUBTOTAL(9,AY9:AY30)</f>
        <v>22858</v>
      </c>
      <c r="AZ31" s="144">
        <f>SUBTOTAL(9,AZ9:AZ30)</f>
        <v>32114</v>
      </c>
      <c r="BA31" s="144">
        <f>SUBTOTAL(9,BA9:BA30)</f>
        <v>30986</v>
      </c>
      <c r="BB31" s="144">
        <f>SUBTOTAL(9,BB9:BB30)</f>
        <v>24269</v>
      </c>
      <c r="BC31" s="145">
        <f>SUBTOTAL(9,BC9:BC30)</f>
        <v>9948</v>
      </c>
      <c r="BD31" s="227">
        <f>IF(ISNUMBER(BA31/AZ31),BA31/AZ31," - ")</f>
        <v>0.96487513234103506</v>
      </c>
      <c r="BE31" s="224">
        <f>IF(ISNUMBER(BB31/BA31),BB31/BA31, " - ")</f>
        <v>0.78322468211450336</v>
      </c>
      <c r="BF31" s="224">
        <f>IF(ISNUMBER(BC31/BA31),BC31/BA31, " - ")</f>
        <v>0.32104821532304911</v>
      </c>
      <c r="BG31" s="145">
        <f>IF(ISNUMBER((AY31+AZ31)/BA31),(AY31+AZ31)/BA31," - ")</f>
        <v>1.7740915252049312</v>
      </c>
      <c r="BH31" s="225">
        <f>SUBTOTAL(9,BH9:BH30)</f>
        <v>24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62recSFTvdaRWT5gxdVjK8sgRSZyLebJBpe9VU3i9B0LypTv7vGobXg+kJTMzPpMmzlKp1B0l82oHJqAbjFD9Q==" saltValue="1PgW581havOGAo8yRq0O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vI8Yi+QjaX82fpd9YA8V4FQ9+QDdbI0t6c1dM1FP4m7wAAqRF1S1oC0EmpxGHhlXnaszkqUPHAzIULiTxFSDw==" saltValue="Q2crJzRXZCEXeaNwkfgo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SABADELL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315</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871</v>
      </c>
      <c r="O9" s="549"/>
      <c r="P9" s="549"/>
      <c r="Q9" s="547">
        <f>IF(ISNUMBER(Datos!P9),Datos!P9,0)</f>
        <v>3505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2780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447</v>
      </c>
      <c r="AI9" s="549" t="str">
        <f>IF(ISNUMBER(Datos!CD9),Datos!CD9,"-")</f>
        <v>-</v>
      </c>
      <c r="AJ9" s="549" t="str">
        <f>IF(ISNUMBER(Datos!EN9),Datos!EN9," - ")</f>
        <v xml:space="preserve"> - </v>
      </c>
      <c r="AK9" s="549"/>
      <c r="AL9" s="550"/>
      <c r="AM9" s="766">
        <f>IF(ISNUMBER(Datos!R9),Datos!R9," - ")</f>
        <v>16473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2546</v>
      </c>
      <c r="BD9" s="693">
        <f>IF(ISNUMBER(Datos!N9),Datos!N9," - ")</f>
        <v>6138</v>
      </c>
      <c r="BE9" s="693" t="str">
        <f>IF(ISNUMBER(Datos!BW9),Datos!BW9," - ")</f>
        <v xml:space="preserve"> - </v>
      </c>
      <c r="BF9" s="762" t="str">
        <f>IF(ISNUMBER(Datos!BX9),Datos!BX9," - ")</f>
        <v xml:space="preserve"> - </v>
      </c>
      <c r="BG9" s="763">
        <f>IF(ISNUMBER(IF(J_V="SI",Datos!K9/Datos!J9,(Datos!K9+Datos!AA9)/(Datos!J9+Datos!Z9))),IF(J_V="SI",Datos!K9/Datos!J9,(Datos!K9+Datos!AA9)/(Datos!J9+Datos!Z9))," - ")</f>
        <v>0.88527851458885942</v>
      </c>
      <c r="BH9" s="764">
        <f>IF(ISNUMBER(((IF(J_V="SI",Datos!L9/Datos!K9,(Datos!L9+Datos!AB9)/(Datos!K9+Datos!AA9)))*11)/factor_trimestre),((IF(J_V="SI",Datos!L9/Datos!K9,(Datos!L9+Datos!AB9)/(Datos!K9+Datos!AA9)))*11)/factor_trimestre," - ")</f>
        <v>12.361198501872657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4.6037592075184153E-2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1</v>
      </c>
      <c r="F10" s="552">
        <f>IF(ISNUMBER(Datos!L10+Datos!K10-Datos!J10),Datos!L10+Datos!K10-Datos!J10," - ")</f>
        <v>119</v>
      </c>
      <c r="G10" s="543">
        <f>IF(ISNUMBER(Datos!I10),Datos!I10," - ")</f>
        <v>119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202</v>
      </c>
      <c r="AC10" s="547">
        <f>IF(ISNUMBER(Datos!Q10),Datos!Q10," - ")</f>
        <v>39</v>
      </c>
      <c r="AD10" s="549"/>
      <c r="AE10" s="563"/>
      <c r="AF10" s="551">
        <f>IF(ISNUMBER(Datos!L10),Datos!L10,"-")</f>
        <v>115</v>
      </c>
      <c r="AG10" s="549"/>
      <c r="AH10" s="549"/>
      <c r="AI10" s="549"/>
      <c r="AJ10" s="549"/>
      <c r="AK10" s="549"/>
      <c r="AL10" s="550"/>
      <c r="AM10" s="766">
        <f>IF(ISNUMBER(Datos!R10),Datos!R10," - ")</f>
        <v>148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62</v>
      </c>
      <c r="BD10" s="693">
        <f>IF(ISNUMBER(Datos!N10),Datos!N10," - ")</f>
        <v>53</v>
      </c>
      <c r="BE10" s="693" t="str">
        <f>IF(ISNUMBER(Datos!BW10),Datos!BW10," - ")</f>
        <v xml:space="preserve"> - </v>
      </c>
      <c r="BF10" s="762" t="str">
        <f>IF(ISNUMBER(Datos!BX10),Datos!BX10," - ")</f>
        <v xml:space="preserve"> - </v>
      </c>
      <c r="BG10" s="763">
        <f>IF(ISNUMBER(Datos!K10/Datos!J10),Datos!K10/Datos!J10," - ")</f>
        <v>1.0202020202020201</v>
      </c>
      <c r="BH10" s="764">
        <f>IF(ISNUMBER(((Datos!L10/Datos!K10)*11)/factor_trimestre),((Datos!L10/Datos!K10)*11)/factor_trimestre," - ")</f>
        <v>6.2623762376237622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0.1044776119402985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315</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779</v>
      </c>
      <c r="O11" s="549"/>
      <c r="P11" s="549"/>
      <c r="Q11" s="547">
        <f>IF(ISNUMBER(Datos!P11),Datos!P11,0)</f>
        <v>227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558</v>
      </c>
      <c r="AD11" s="549"/>
      <c r="AE11" s="563"/>
      <c r="AF11" s="551" t="str">
        <f>IF(ISNUMBER(IF(J_V="SI",Datos!L11,Datos!L11+Datos!AB11)-IF(Monitorios="SI",Datos!CD11,0)),
                          IF(J_V="SI",Datos!L11,Datos!L11+Datos!AB11)-IF(Monitorios="SI",Datos!CD11,0),
                          " - ")</f>
        <v xml:space="preserve"> - </v>
      </c>
      <c r="AG11" s="549"/>
      <c r="AH11" s="549">
        <f>IF(ISNUMBER(Datos!AB11),Datos!AB11,"-")</f>
        <v>21</v>
      </c>
      <c r="AI11" s="549"/>
      <c r="AJ11" s="549"/>
      <c r="AK11" s="549"/>
      <c r="AL11" s="550"/>
      <c r="AM11" s="766">
        <f>IF(ISNUMBER(Datos!R11),Datos!R11," - ")</f>
        <v>722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889</v>
      </c>
      <c r="BD11" s="693">
        <f>IF(ISNUMBER(Datos!N11),Datos!N11," - ")</f>
        <v>1349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1.0048442906574395</v>
      </c>
      <c r="BH11" s="764">
        <f>IF(ISNUMBER(((IF(J_V="SI",Datos!L11/Datos!K11,(Datos!L11+Datos!AB11)/(Datos!K11+Datos!AA11)))*11)/factor_trimestre),((IF(J_V="SI",Datos!L11/Datos!K11,(Datos!L11+Datos!AB11)/(Datos!K11+Datos!AA11)))*11)/factor_trimestre," - ")</f>
        <v>4.1477272727272725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-0.31433998100664767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315</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11</v>
      </c>
      <c r="F14" s="1197">
        <f t="shared" si="1"/>
        <v>119</v>
      </c>
      <c r="G14" s="1197">
        <f t="shared" si="1"/>
        <v>119</v>
      </c>
      <c r="H14" s="1198">
        <f t="shared" si="1"/>
        <v>0</v>
      </c>
      <c r="I14" s="1197">
        <f t="shared" si="1"/>
        <v>0</v>
      </c>
      <c r="J14" s="1164">
        <f t="shared" si="1"/>
        <v>0</v>
      </c>
      <c r="K14" s="1164">
        <f t="shared" si="1"/>
        <v>0</v>
      </c>
      <c r="L14" s="1198">
        <f t="shared" si="1"/>
        <v>0</v>
      </c>
      <c r="M14" s="1198">
        <f t="shared" si="1"/>
        <v>0</v>
      </c>
      <c r="N14" s="1198">
        <f t="shared" si="1"/>
        <v>1650</v>
      </c>
      <c r="O14" s="1199">
        <f t="shared" si="1"/>
        <v>0</v>
      </c>
      <c r="P14" s="1199">
        <f t="shared" si="1"/>
        <v>0</v>
      </c>
      <c r="Q14" s="1198">
        <f t="shared" si="1"/>
        <v>3785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202</v>
      </c>
      <c r="AC14" s="1198">
        <f t="shared" si="2"/>
        <v>3377</v>
      </c>
      <c r="AD14" s="1198">
        <f t="shared" si="2"/>
        <v>0</v>
      </c>
      <c r="AE14" s="1198">
        <f t="shared" si="2"/>
        <v>0</v>
      </c>
      <c r="AF14" s="1198">
        <f t="shared" si="2"/>
        <v>115</v>
      </c>
      <c r="AG14" s="1198">
        <f t="shared" si="2"/>
        <v>0</v>
      </c>
      <c r="AH14" s="1198">
        <f t="shared" si="2"/>
        <v>468</v>
      </c>
      <c r="AI14" s="1198">
        <f t="shared" si="2"/>
        <v>0</v>
      </c>
      <c r="AJ14" s="1198">
        <f t="shared" si="2"/>
        <v>0</v>
      </c>
      <c r="AK14" s="1198">
        <f t="shared" si="2"/>
        <v>0</v>
      </c>
      <c r="AL14" s="1198">
        <f t="shared" si="2"/>
        <v>0</v>
      </c>
      <c r="AM14" s="1198">
        <f t="shared" si="2"/>
        <v>17343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3497</v>
      </c>
      <c r="BD14" s="1198">
        <f t="shared" si="2"/>
        <v>7540</v>
      </c>
      <c r="BE14" s="1198">
        <f t="shared" si="2"/>
        <v>0</v>
      </c>
      <c r="BF14" s="1198">
        <f t="shared" si="2"/>
        <v>0</v>
      </c>
      <c r="BG14" s="1198">
        <f>IF(ISNUMBER(Datos!K14/Datos!J14),Datos!K14/Datos!J14," - ")</f>
        <v>0.90477055333575496</v>
      </c>
      <c r="BH14" s="1202">
        <f>IF(ISNUMBER(((Datos!L14/Datos!K14)*11)/factor_trimestre),((Datos!L14/Datos!K14)*11)/factor_trimestre," - ")</f>
        <v>11.588089662094346</v>
      </c>
      <c r="BI14" s="1198">
        <f>IF(ISNUMBER('Resol  Asuntos'!D14/NºAsuntos!G14),'Resol  Asuntos'!D14/NºAsuntos!G14," - ")</f>
        <v>0.21250607681088965</v>
      </c>
      <c r="BJ14" s="1198" t="str">
        <f>IF(ISNUMBER(Datos!CI14/Datos!CJ14),Datos!CI14/Datos!CJ14," - ")</f>
        <v xml:space="preserve"> - </v>
      </c>
      <c r="BK14" s="1198">
        <f>SUBTOTAL(9,BK8:BK13)</f>
        <v>0</v>
      </c>
      <c r="BL14" s="1198">
        <f>IF(ISNUMBER((I14-AB14+L14)/(F14)),(I14-AB14+L14)/(F14)," - ")</f>
        <v>-1.6974789915966386</v>
      </c>
      <c r="BM14" s="1203">
        <f>SUBTOTAL(9,BM9:BM13)</f>
        <v>-0.16382477699116502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504</v>
      </c>
      <c r="C16" s="749" t="str">
        <f>Datos!A16</f>
        <v xml:space="preserve">Jdos. Instrucción                               </v>
      </c>
      <c r="D16" s="750"/>
      <c r="E16" s="1555">
        <f>IF(ISNUMBER(Datos!AQ16),Datos!AQ16," - ")</f>
        <v>5</v>
      </c>
      <c r="F16" s="740">
        <f>IF(ISNUMBER(AF16+AB16-Datos!J16-L16),AF16+AB16-Datos!J16-L16," - ")</f>
        <v>4802</v>
      </c>
      <c r="G16" s="743">
        <f>IF(ISNUMBER(IF(D_I="SI",Datos!I16,Datos!I16+Datos!AC16)),IF(D_I="SI",Datos!I16,Datos!I16+Datos!AC16)," - ")</f>
        <v>4688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439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12021</v>
      </c>
      <c r="AC16" s="240">
        <f>IF(ISNUMBER(Datos!Q16),Datos!Q16," - ")</f>
        <v>293</v>
      </c>
      <c r="AD16" s="374"/>
      <c r="AE16" s="562"/>
      <c r="AF16" s="741">
        <f>IF(ISNUMBER(IF(D_I="SI",Datos!L16,Datos!L16+Datos!AF16)),IF(D_I="SI",Datos!L16,Datos!L16+Datos!AF16)," - ")</f>
        <v>5787</v>
      </c>
      <c r="AG16" s="374"/>
      <c r="AH16" s="374"/>
      <c r="AI16" s="374"/>
      <c r="AJ16" s="549"/>
      <c r="AK16" s="374"/>
      <c r="AL16" s="545"/>
      <c r="AM16" s="375">
        <f>IF(ISNUMBER(Datos!R16),Datos!R16," - ")</f>
        <v>597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1716</v>
      </c>
      <c r="BD16" s="243">
        <f>IF(ISNUMBER(Datos!N16),Datos!N16," - ")</f>
        <v>7079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0.92426572351222513</v>
      </c>
      <c r="BH16" s="764">
        <f>IF(ISNUMBER(((IF(D_I="SI",Datos!L16/Datos!K16,(Datos!L16+Datos!AF16)/(Datos!K16+Datos!AE16)))*11)/factor_trimestre),((IF(D_I="SI",Datos!L16/Datos!K16,(Datos!L16+Datos!AF16)/(Datos!K16+Datos!AE16)))*11)/factor_trimestre," - ")</f>
        <v>5.2954829049163958</v>
      </c>
      <c r="BI16" s="266">
        <f>IF(ISNUMBER('Resol  Asuntos'!D16/NºAsuntos!G16),'Resol  Asuntos'!D16/NºAsuntos!G16," - ")</f>
        <v>0.14275018717244822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504</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1178</v>
      </c>
      <c r="AC18" s="547">
        <f>IF(ISNUMBER(Datos!Q18),Datos!Q18," - ")</f>
        <v>5</v>
      </c>
      <c r="AD18" s="549"/>
      <c r="AE18" s="562"/>
      <c r="AF18" s="551">
        <f>IF(ISNUMBER(Datos!L18),Datos!L18,"-")</f>
        <v>219</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74</v>
      </c>
      <c r="BD18" s="693">
        <f>IF(ISNUMBER(Datos!N18),Datos!N18," - ")</f>
        <v>490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1.0034071550255537</v>
      </c>
      <c r="BH18" s="764">
        <f>IF(ISNUMBER(((IF(D_I="SI",Datos!L18/Datos!K18,(Datos!L18+Datos!AF18)/(Datos!K18+Datos!AE18)))*11)/factor_trimestre),((IF(D_I="SI",Datos!L18/Datos!K18,(Datos!L18+Datos!AF18)/(Datos!K18+Datos!AE18)))*11)/factor_trimestre," - ")</f>
        <v>2.0449915110356538</v>
      </c>
      <c r="BI18" s="763">
        <f>IF(ISNUMBER('Resol  Asuntos'!D18/NºAsuntos!G18),'Resol  Asuntos'!D18/NºAsuntos!G18," - ")</f>
        <v>6.2818336162988112E-2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4</v>
      </c>
      <c r="B21" s="746" t="s">
        <v>504</v>
      </c>
      <c r="C21" s="747" t="str">
        <f>Datos!A21</f>
        <v xml:space="preserve">Jdos. de lo Penal                               </v>
      </c>
      <c r="D21" s="601"/>
      <c r="E21" s="1380">
        <f>IF(ISNUMBER(Datos!AQ21),Datos!AQ21," - ")</f>
        <v>4</v>
      </c>
      <c r="F21" s="552">
        <f>IF(ISNUMBER(Datos!L21+Datos!K21-Datos!J21),Datos!L21+Datos!K21-Datos!J21," - ")</f>
        <v>1842</v>
      </c>
      <c r="G21" s="543">
        <f>IF(ISNUMBER(Datos!I21),Datos!I21," - ")</f>
        <v>1845</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2031</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1318</v>
      </c>
      <c r="AC21" s="547">
        <f>IF(ISNUMBER(Datos!Q21),Datos!Q21," - ")</f>
        <v>2331</v>
      </c>
      <c r="AD21" s="549"/>
      <c r="AE21" s="563"/>
      <c r="AF21" s="551">
        <f>IF(ISNUMBER(Datos!L21),Datos!L21,"-")</f>
        <v>1930</v>
      </c>
      <c r="AG21" s="549"/>
      <c r="AH21" s="549"/>
      <c r="AI21" s="549"/>
      <c r="AJ21" s="549"/>
      <c r="AK21" s="549"/>
      <c r="AL21" s="550"/>
      <c r="AM21" s="766">
        <f>IF(ISNUMBER(Datos!R21),Datos!R21," - ")</f>
        <v>4274</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1145</v>
      </c>
      <c r="BD21" s="693"/>
      <c r="BE21" s="693" t="str">
        <f>IF(ISNUMBER(Datos!BW21),Datos!BW21," - ")</f>
        <v xml:space="preserve"> - </v>
      </c>
      <c r="BF21" s="762" t="str">
        <f>IF(ISNUMBER(Datos!BX21),Datos!BX21," - ")</f>
        <v xml:space="preserve"> - </v>
      </c>
      <c r="BG21" s="763">
        <f>IF(ISNUMBER(Datos!K21/Datos!J21),Datos!K21/Datos!J21," - ")</f>
        <v>0.93741109530583211</v>
      </c>
      <c r="BH21" s="764">
        <f>IF(ISNUMBER(((Datos!L21/Datos!K21)*11)/factor_trimestre),((Datos!L21/Datos!K21)*11)/factor_trimestre," - ")</f>
        <v>16.107738998482549</v>
      </c>
      <c r="BI21" s="763">
        <f>IF(ISNUMBER('Resol  Asuntos'!D21/NºAsuntos!G21),'Resol  Asuntos'!D21/NºAsuntos!G21," - ")</f>
        <v>0.8687405159332322</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10</v>
      </c>
      <c r="F23" s="1197">
        <f>SUBTOTAL(9,F16:F22)</f>
        <v>6644</v>
      </c>
      <c r="G23" s="1197">
        <f>SUBTOTAL(9,G16:G22)</f>
        <v>6756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2481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14517</v>
      </c>
      <c r="AC23" s="1198">
        <f t="shared" si="5"/>
        <v>2629</v>
      </c>
      <c r="AD23" s="1198">
        <f t="shared" si="5"/>
        <v>0</v>
      </c>
      <c r="AE23" s="1198">
        <f t="shared" si="5"/>
        <v>0</v>
      </c>
      <c r="AF23" s="1198">
        <f t="shared" si="5"/>
        <v>7936</v>
      </c>
      <c r="AG23" s="1198">
        <f t="shared" si="5"/>
        <v>0</v>
      </c>
      <c r="AH23" s="1198">
        <f t="shared" si="5"/>
        <v>0</v>
      </c>
      <c r="AI23" s="1198">
        <f t="shared" si="5"/>
        <v>0</v>
      </c>
      <c r="AJ23" s="1198">
        <f t="shared" si="5"/>
        <v>0</v>
      </c>
      <c r="AK23" s="1198">
        <f t="shared" si="5"/>
        <v>0</v>
      </c>
      <c r="AL23" s="1198">
        <f t="shared" si="5"/>
        <v>0</v>
      </c>
      <c r="AM23" s="1198">
        <f t="shared" si="5"/>
        <v>4878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2935</v>
      </c>
      <c r="BD23" s="1198">
        <f t="shared" si="5"/>
        <v>7569</v>
      </c>
      <c r="BE23" s="1198">
        <f t="shared" si="5"/>
        <v>0</v>
      </c>
      <c r="BF23" s="1198">
        <f t="shared" si="5"/>
        <v>0</v>
      </c>
      <c r="BG23" s="1198">
        <f>IF(ISNUMBER(Datos!K23/Datos!J23),Datos!K23/Datos!J23," - ")</f>
        <v>0.93141280636468626</v>
      </c>
      <c r="BH23" s="1202">
        <f>IF(ISNUMBER(((Datos!L23/Datos!K23)*11)/factor_trimestre),((Datos!L23/Datos!K23)*11)/factor_trimestre," - ")</f>
        <v>6.0133636426258867</v>
      </c>
      <c r="BI23" s="1198">
        <f>SUBTOTAL(9,BI16:BI22)</f>
        <v>1.0743090392686685</v>
      </c>
      <c r="BJ23" s="1198">
        <f>SUBTOTAL(9,BJ16:BJ22)</f>
        <v>0</v>
      </c>
      <c r="BK23" s="1198">
        <f>SUBTOTAL(9,BK16:BK22)</f>
        <v>0</v>
      </c>
      <c r="BL23" s="1198">
        <f>IF(ISNUMBER((I23-AB23+L23)/(F23)),(I23-AB23+L23)/(F23)," - ")</f>
        <v>-2.1849789283564118</v>
      </c>
      <c r="BM23" s="1205">
        <f>IF(ISNUMBER((Datos!P23-Datos!Q23)/(Datos!R23-Datos!P23+Datos!Q23)),(Datos!P23-Datos!Q23)/(Datos!R23-Datos!P23+Datos!Q23)," - ")</f>
        <v>-2.9446876243533624E-2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3</v>
      </c>
      <c r="B28" s="600" t="s">
        <v>506</v>
      </c>
      <c r="C28" s="7" t="str">
        <f>Datos!A28</f>
        <v xml:space="preserve">Jdos. de lo Social                              </v>
      </c>
      <c r="D28" s="549"/>
      <c r="E28" s="1380">
        <f>IF(ISNUMBER(Datos!AQ28),Datos!AQ28," - ")</f>
        <v>3</v>
      </c>
      <c r="F28" s="552">
        <f>IF(ISNUMBER(Datos!L28+Datos!K28-Datos!J28),Datos!L28+Datos!K28-Datos!J28," - ")</f>
        <v>2992</v>
      </c>
      <c r="G28" s="543">
        <f>IF(ISNUMBER(Datos!I28),Datos!I28," - ")</f>
        <v>3018</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157</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3243</v>
      </c>
      <c r="AC28" s="240">
        <f>IF(ISNUMBER(Datos!Q28),Datos!Q28," - ")</f>
        <v>177</v>
      </c>
      <c r="AD28" s="374"/>
      <c r="AE28" s="562"/>
      <c r="AF28" s="372">
        <f>IF(ISNUMBER(Datos!L28),Datos!L28,"-")</f>
        <v>2525</v>
      </c>
      <c r="AG28" s="549"/>
      <c r="AH28" s="374"/>
      <c r="AI28" s="374"/>
      <c r="AJ28" s="549"/>
      <c r="AK28" s="549"/>
      <c r="AL28" s="550"/>
      <c r="AM28" s="375">
        <f>IF(ISNUMBER(Datos!R28),Datos!R28," - ")</f>
        <v>110</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1056</v>
      </c>
      <c r="BD28" s="239">
        <f>IF(ISNUMBER(Datos!N28),Datos!N28," - ")</f>
        <v>636</v>
      </c>
      <c r="BE28" s="245" t="str">
        <f>IF(ISNUMBER(Datos!BW28),Datos!BW28," - ")</f>
        <v xml:space="preserve"> - </v>
      </c>
      <c r="BF28" s="246" t="str">
        <f>IF(ISNUMBER(Datos!BX28),Datos!BX28," - ")</f>
        <v xml:space="preserve"> - </v>
      </c>
      <c r="BG28" s="763">
        <f>IF(ISNUMBER(Datos!K28/Datos!J28),Datos!K28/Datos!J28," - ")</f>
        <v>1.168227665706052</v>
      </c>
      <c r="BH28" s="764">
        <f>IF(ISNUMBER(((Datos!L28/Datos!K28)*11)/factor_trimestre),((Datos!L28/Datos!K28)*11)/factor_trimestre," - ")</f>
        <v>8.5646006783842132</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3</v>
      </c>
      <c r="F30" s="1197">
        <f t="shared" ref="F30:K30" si="13">SUBTOTAL(9,F28:F29)</f>
        <v>2992</v>
      </c>
      <c r="G30" s="1197">
        <f t="shared" si="13"/>
        <v>3018</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157</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3243</v>
      </c>
      <c r="AC30" s="1198">
        <f t="shared" si="15"/>
        <v>177</v>
      </c>
      <c r="AD30" s="1198">
        <f t="shared" si="15"/>
        <v>0</v>
      </c>
      <c r="AE30" s="1198">
        <f t="shared" si="15"/>
        <v>0</v>
      </c>
      <c r="AF30" s="1199">
        <f t="shared" si="15"/>
        <v>2525</v>
      </c>
      <c r="AG30" s="1199">
        <f t="shared" si="15"/>
        <v>0</v>
      </c>
      <c r="AH30" s="1199">
        <f t="shared" si="15"/>
        <v>0</v>
      </c>
      <c r="AI30" s="1199">
        <f t="shared" si="15"/>
        <v>0</v>
      </c>
      <c r="AJ30" s="1198">
        <f t="shared" si="15"/>
        <v>0</v>
      </c>
      <c r="AK30" s="1199">
        <f t="shared" si="15"/>
        <v>0</v>
      </c>
      <c r="AL30" s="1199"/>
      <c r="AM30" s="1199">
        <f t="shared" ref="AM30:AV30" si="16">SUBTOTAL(9,AM28:AM29)</f>
        <v>110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1056</v>
      </c>
      <c r="BD30" s="1211"/>
      <c r="BE30" s="1198">
        <f>SUBTOTAL(9,BE28:BE29)</f>
        <v>0</v>
      </c>
      <c r="BF30" s="1207">
        <f>SUBTOTAL(9,BF28:BF29)</f>
        <v>0</v>
      </c>
      <c r="BG30" s="1198">
        <f>IF(ISNUMBER(Datos!K30/Datos!J30),Datos!K30/Datos!J30," - ")</f>
        <v>1.168227665706052</v>
      </c>
      <c r="BH30" s="1202">
        <f>IF(ISNUMBER(((Datos!L30/Datos!K30)*11)/factor_trimestre),((Datos!L30/Datos!K30)*11)/factor_trimestre," - ")</f>
        <v>8.5646006783842132</v>
      </c>
      <c r="BI30" s="1203"/>
      <c r="BJ30" s="1203">
        <f>IF(ISNUMBER(BL30/BM30),BL30/BM30," - ")</f>
        <v>7.0452874331550808</v>
      </c>
      <c r="BK30" s="1196">
        <f>SUBTOTAL(9,BK28:BK29)</f>
        <v>0</v>
      </c>
      <c r="BL30" s="1198">
        <f t="shared" si="12"/>
        <v>-1.0838903743315509</v>
      </c>
      <c r="BM30" s="1205">
        <f>IF(ISNUMBER((Datos!P30-Datos!Q30)/(Datos!R30-Datos!P30+Datos!Q30)),(Datos!P30-Datos!Q30)/(Datos!R30-Datos!P30+Datos!Q30)," - ")</f>
        <v>-0.15384615384615385</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24</v>
      </c>
      <c r="F31" s="1117">
        <f t="shared" si="18"/>
        <v>9755</v>
      </c>
      <c r="G31" s="1117">
        <f t="shared" si="18"/>
        <v>9893</v>
      </c>
      <c r="H31" s="1119">
        <f t="shared" si="18"/>
        <v>0</v>
      </c>
      <c r="I31" s="1117">
        <f t="shared" si="18"/>
        <v>0</v>
      </c>
      <c r="J31" s="1119">
        <f t="shared" si="18"/>
        <v>0</v>
      </c>
      <c r="K31" s="1119">
        <f t="shared" si="18"/>
        <v>0</v>
      </c>
      <c r="L31" s="1180">
        <f t="shared" si="18"/>
        <v>0</v>
      </c>
      <c r="M31" s="1180">
        <f t="shared" si="18"/>
        <v>0</v>
      </c>
      <c r="N31" s="1180">
        <f t="shared" si="18"/>
        <v>1650</v>
      </c>
      <c r="O31" s="1180">
        <f t="shared" si="18"/>
        <v>0</v>
      </c>
      <c r="P31" s="1180">
        <f t="shared" si="18"/>
        <v>0</v>
      </c>
      <c r="Q31" s="1119">
        <f t="shared" si="18"/>
        <v>6423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17962</v>
      </c>
      <c r="AC31" s="1118">
        <f t="shared" si="19"/>
        <v>6183</v>
      </c>
      <c r="AD31" s="1118">
        <f t="shared" si="19"/>
        <v>0</v>
      </c>
      <c r="AE31" s="1118">
        <f t="shared" si="19"/>
        <v>0</v>
      </c>
      <c r="AF31" s="1125">
        <f t="shared" si="19"/>
        <v>10576</v>
      </c>
      <c r="AG31" s="1125">
        <f t="shared" si="19"/>
        <v>0</v>
      </c>
      <c r="AH31" s="1125">
        <f t="shared" si="19"/>
        <v>468</v>
      </c>
      <c r="AI31" s="1125">
        <f t="shared" si="19"/>
        <v>0</v>
      </c>
      <c r="AJ31" s="1118">
        <f t="shared" si="19"/>
        <v>0</v>
      </c>
      <c r="AK31" s="1125">
        <f t="shared" si="19"/>
        <v>0</v>
      </c>
      <c r="AL31" s="1125">
        <f t="shared" si="19"/>
        <v>0</v>
      </c>
      <c r="AM31" s="1125">
        <f t="shared" si="19"/>
        <v>22331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7488</v>
      </c>
      <c r="BD31" s="1117">
        <f t="shared" si="19"/>
        <v>15745</v>
      </c>
      <c r="BE31" s="1117">
        <f t="shared" si="19"/>
        <v>0</v>
      </c>
      <c r="BF31" s="1127">
        <f t="shared" si="19"/>
        <v>0</v>
      </c>
      <c r="BG31" s="1223">
        <f>IF(ISNUMBER(Datos!K31/Datos!J31),Datos!K31/Datos!J31," - ")</f>
        <v>0.93764334862385323</v>
      </c>
      <c r="BH31" s="1223">
        <f>IF(ISNUMBER(((Datos!L31/Datos!K31)*11)/factor_trimestre),((Datos!L31/Datos!K31)*11)/factor_trimestre," - ")</f>
        <v>8.8137899403760898</v>
      </c>
      <c r="BI31" s="1103">
        <f>IF(ISNUMBER(Datos!J31/Datos!I31),Datos!J31/Datos!I31," - ")</f>
        <v>1.4595974390090807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-1.8413121476166068</v>
      </c>
      <c r="BM31" s="1188">
        <f>IF(ISNUMBER((Datos!P31-Datos!Q31+R31)/(Datos!R31-Datos!P31+Datos!Q31-R31)),(Datos!P31-Datos!Q31+R31)/(Datos!R31-Datos!P31+Datos!Q31-R31)," - ")</f>
        <v>1.0864152822416368E-2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2198.4444444444443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3.5647724105728389</v>
      </c>
      <c r="F33" s="673">
        <f>IF(ISNUMBER(STDEV(F8:F30)),STDEV(F8:F30),"-")</f>
        <v>2418.5988121814898</v>
      </c>
      <c r="G33" s="674">
        <f>IF(ISNUMBER(STDEV(G8:G30)),STDEV(G8:G30),"-")</f>
        <v>2393.2504628178344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5432.490246450312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1192.5519161559687</v>
      </c>
      <c r="BD33" s="673"/>
      <c r="BE33" s="673">
        <f>IF(ISNUMBER(STDEV(BE8:BE30)),STDEV(BE8:BE30),"-")</f>
        <v>0</v>
      </c>
      <c r="BF33" s="678">
        <f>IF(ISNUMBER(STDEV(BF8:BF30)),STDEV(BF8:BF30),"-")</f>
        <v>0</v>
      </c>
      <c r="BG33" s="1052">
        <f>IF(ISNUMBER(STDEV(BG8:BG30)),STDEV(BG8:BG30),"-")</f>
        <v>0.10185027554301843</v>
      </c>
      <c r="BH33" s="1058">
        <f>IF(ISNUMBER(STDEV(BH8:BH30)),STDEV(BH8:BH30),"-")</f>
        <v>4.2525775365384639</v>
      </c>
      <c r="BI33" s="273">
        <f>IF(ISNUMBER(STDEV(BI8:BI30)),STDEV(BI8:BI30),"-")</f>
        <v>0.464583451185614</v>
      </c>
      <c r="BJ33" s="244" t="str">
        <f>IF(ISNUMBER(BL33/BM33),BL33/BM33," - ")</f>
        <v xml:space="preserve"> - </v>
      </c>
      <c r="BK33" s="709"/>
      <c r="BL33" s="681">
        <f>IF(ISNUMBER(STDEV(BL8:BL30)),STDEV(BL8:BL30),"-")</f>
        <v>0.5517461951813577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c+jyvEprdtCTQAwGs+SWlI2KNNeb62pkkxbtYCPbJBHwArxDjYjeWSfSK//ZZNGnaUJ83e0tKubt8oFnUyRng==" saltValue="VnOugoNFSBxMypV7jDTa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SABADELL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3505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2780</v>
      </c>
      <c r="AA9" s="551" t="str">
        <f>IF(ISNUMBER(IF(J_V="SI",Datos!L9,Datos!L9+Datos!AB9)-IF(Monitorios="SI",Datos!CD9,0)),
                          IF(J_V="SI",Datos!L9,Datos!L9+Datos!AB9)-IF(Monitorios="SI",Datos!CD9,0),
                          " - ")</f>
        <v xml:space="preserve"> - </v>
      </c>
      <c r="AB9" s="549"/>
      <c r="AC9" s="549"/>
      <c r="AD9" s="563"/>
      <c r="AE9" s="563">
        <f>IF(ISNUMBER(Datos!R9),Datos!R9," - ")</f>
        <v>16473</v>
      </c>
      <c r="AF9" s="693" t="str">
        <f>IF(ISNUMBER(Datos!BV9),Datos!BV9," - ")</f>
        <v xml:space="preserve"> - </v>
      </c>
      <c r="AG9" s="552" t="str">
        <f>IF(ISNUMBER(Datos!DV9),Datos!DV9," - ")</f>
        <v xml:space="preserve"> - </v>
      </c>
      <c r="AH9" s="553"/>
      <c r="AI9" s="554"/>
      <c r="AJ9" s="552">
        <f>IF(ISNUMBER(Datos!M9),Datos!M9," - ")</f>
        <v>2546</v>
      </c>
      <c r="AK9" s="693">
        <f>IF(ISNUMBER(Datos!N9),Datos!N9," - ")</f>
        <v>6138</v>
      </c>
      <c r="AL9" s="693" t="str">
        <f>IF(ISNUMBER(Datos!BW9),Datos!BW9," - ")</f>
        <v xml:space="preserve"> - </v>
      </c>
      <c r="AM9" s="762" t="str">
        <f>IF(ISNUMBER(Datos!BX9),Datos!BX9," - ")</f>
        <v xml:space="preserve"> - </v>
      </c>
      <c r="AN9" s="763"/>
      <c r="AO9" s="764">
        <f>IF(ISNUMBER(((NºAsuntos!I9/NºAsuntos!G9)*11)/factor_trimestre),((NºAsuntos!I9/NºAsuntos!G9)*11)/factor_trimestre," - ")</f>
        <v>12.361198501872657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4.6037592075184153E-2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1</v>
      </c>
      <c r="F10" s="552">
        <f>IF(ISNUMBER(Datos!L10+Datos!K10-Datos!J10),Datos!L10+Datos!K10-Datos!J10," - ")</f>
        <v>119</v>
      </c>
      <c r="G10" s="552">
        <f>IF(ISNUMBER(Datos!I10),Datos!I10," - ")</f>
        <v>119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202</v>
      </c>
      <c r="Z10" s="805">
        <f>IF(ISNUMBER(Datos!Q10),Datos!Q10," - ")</f>
        <v>39</v>
      </c>
      <c r="AA10" s="551">
        <f>IF(ISNUMBER(Datos!L10),Datos!L10,"-")</f>
        <v>115</v>
      </c>
      <c r="AB10" s="549"/>
      <c r="AC10" s="549"/>
      <c r="AD10" s="563"/>
      <c r="AE10" s="563">
        <f>IF(ISNUMBER(Datos!R10),Datos!R10," - ")</f>
        <v>148</v>
      </c>
      <c r="AF10" s="693" t="str">
        <f>IF(ISNUMBER(Datos!BV10),Datos!BV10," - ")</f>
        <v xml:space="preserve"> - </v>
      </c>
      <c r="AG10" s="552" t="str">
        <f>IF(ISNUMBER(Datos!DV10),Datos!DV10," - ")</f>
        <v xml:space="preserve"> - </v>
      </c>
      <c r="AH10" s="553"/>
      <c r="AI10" s="554"/>
      <c r="AJ10" s="552">
        <f>IF(ISNUMBER(Datos!M10),Datos!M10," - ")</f>
        <v>62</v>
      </c>
      <c r="AK10" s="693">
        <f>IF(ISNUMBER(Datos!N10),Datos!N10," - ")</f>
        <v>53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6.2623762376237622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0.1044776119402985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315</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227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558</v>
      </c>
      <c r="AA11" s="551" t="str">
        <f>IF(ISNUMBER(IF(J_V="SI",Datos!L11,Datos!L11+Datos!AB11)-IF(Monitorios="SI",Datos!CD11,0)),
                          IF(J_V="SI",Datos!L11,Datos!L11+Datos!AB11)-IF(Monitorios="SI",Datos!CD11,0),
                          " - ")</f>
        <v xml:space="preserve"> - </v>
      </c>
      <c r="AB11" s="549"/>
      <c r="AC11" s="549"/>
      <c r="AD11" s="563"/>
      <c r="AE11" s="563">
        <f>IF(ISNUMBER(Datos!R11),Datos!R11," - ")</f>
        <v>722</v>
      </c>
      <c r="AF11" s="693" t="str">
        <f>IF(ISNUMBER(Datos!BV11),Datos!BV11," - ")</f>
        <v xml:space="preserve"> - </v>
      </c>
      <c r="AG11" s="552" t="str">
        <f>IF(ISNUMBER(Datos!DV11),Datos!DV11," - ")</f>
        <v xml:space="preserve"> - </v>
      </c>
      <c r="AH11" s="553"/>
      <c r="AI11" s="554"/>
      <c r="AJ11" s="552">
        <f>IF(ISNUMBER(Datos!M11),Datos!M11," - ")</f>
        <v>889</v>
      </c>
      <c r="AK11" s="693">
        <f>IF(ISNUMBER(Datos!N11),Datos!N11," - ")</f>
        <v>1349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4.1477272727272725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-0.31433998100664767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315</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11</v>
      </c>
      <c r="F14" s="1197">
        <f>SUBTOTAL(9,F8:F13)</f>
        <v>119</v>
      </c>
      <c r="G14" s="1197">
        <f>SUBTOTAL(9,G8:G13)</f>
        <v>119</v>
      </c>
      <c r="H14" s="1211"/>
      <c r="I14" s="1197">
        <f t="shared" ref="I14:N14" si="1">SUBTOTAL(9,I8:I13)</f>
        <v>0</v>
      </c>
      <c r="J14" s="1164">
        <f t="shared" si="1"/>
        <v>0</v>
      </c>
      <c r="K14" s="1211">
        <f t="shared" si="1"/>
        <v>0</v>
      </c>
      <c r="L14" s="1211">
        <f t="shared" si="1"/>
        <v>0</v>
      </c>
      <c r="M14" s="1211">
        <f t="shared" si="1"/>
        <v>0</v>
      </c>
      <c r="N14" s="1211">
        <f t="shared" si="1"/>
        <v>3785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202</v>
      </c>
      <c r="Z14" s="1210">
        <f t="shared" si="3"/>
        <v>3377</v>
      </c>
      <c r="AA14" s="1199">
        <f t="shared" si="3"/>
        <v>115</v>
      </c>
      <c r="AB14" s="1199">
        <f t="shared" si="3"/>
        <v>0</v>
      </c>
      <c r="AC14" s="1199">
        <f t="shared" si="3"/>
        <v>0</v>
      </c>
      <c r="AD14" s="1199">
        <f t="shared" si="3"/>
        <v>0</v>
      </c>
      <c r="AE14" s="1199">
        <f t="shared" si="3"/>
        <v>17343</v>
      </c>
      <c r="AF14" s="1211">
        <f t="shared" si="3"/>
        <v>0</v>
      </c>
      <c r="AG14" s="1211">
        <f t="shared" si="3"/>
        <v>0</v>
      </c>
      <c r="AH14" s="1211">
        <f t="shared" si="3"/>
        <v>0</v>
      </c>
      <c r="AI14" s="1211">
        <f t="shared" si="3"/>
        <v>0</v>
      </c>
      <c r="AJ14" s="1211">
        <f t="shared" si="3"/>
        <v>3497</v>
      </c>
      <c r="AK14" s="1211">
        <f t="shared" si="3"/>
        <v>7540</v>
      </c>
      <c r="AL14" s="1211">
        <f t="shared" si="3"/>
        <v>0</v>
      </c>
      <c r="AM14" s="1211">
        <f t="shared" si="3"/>
        <v>0</v>
      </c>
      <c r="AN14" s="1211">
        <f t="shared" si="3"/>
        <v>0</v>
      </c>
      <c r="AO14" s="1203">
        <f>IF(ISNUMBER(((NºAsuntos!I14/NºAsuntos!G14)*11)/factor_trimestre),((NºAsuntos!I14/NºAsuntos!G14)*11)/factor_trimestre," - ")</f>
        <v>10.836898395721924</v>
      </c>
      <c r="AP14" s="1213" t="str">
        <f>IF(ISNUMBER(Datos!CI14/Datos!CJ14),Datos!CI14/Datos!CJ14," - ")</f>
        <v xml:space="preserve"> - </v>
      </c>
      <c r="AQ14" s="1236">
        <f t="shared" ref="AQ14:AV14" si="4">SUBTOTAL(9,AQ9:AQ13)</f>
        <v>0</v>
      </c>
      <c r="AR14" s="1236">
        <f t="shared" si="4"/>
        <v>-0.16382477699116502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504</v>
      </c>
      <c r="C16" s="765" t="str">
        <f>Datos!A16</f>
        <v xml:space="preserve">Jdos. Instrucción                               </v>
      </c>
      <c r="D16" s="593"/>
      <c r="E16" s="1558">
        <f>IF(ISNUMBER(Datos!AQ16),Datos!AQ16," - ")</f>
        <v>5</v>
      </c>
      <c r="F16" s="543">
        <f>IF(ISNUMBER(AA16+Y16-Datos!J16-K16),AA16+Y16-Datos!J16-K16," - ")</f>
        <v>4802</v>
      </c>
      <c r="G16" s="552">
        <f>IF(ISNUMBER(IF(D_I="SI",Datos!I16,Datos!I16+Datos!AC16)),IF(D_I="SI",Datos!I16,Datos!I16+Datos!AC16)," - ")</f>
        <v>4688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439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12021</v>
      </c>
      <c r="Z16" s="805">
        <f>IF(ISNUMBER(Datos!Q16),Datos!Q16," - ")</f>
        <v>293</v>
      </c>
      <c r="AA16" s="551">
        <f>IF(ISNUMBER(IF(D_I="SI",Datos!L16,Datos!L16+Datos!AF16)),IF(D_I="SI",Datos!L16,Datos!L16+Datos!AF16)," - ")</f>
        <v>5787</v>
      </c>
      <c r="AB16" s="549"/>
      <c r="AC16" s="549"/>
      <c r="AD16" s="563"/>
      <c r="AE16" s="563">
        <f>IF(ISNUMBER(Datos!R16),Datos!R16," - ")</f>
        <v>597</v>
      </c>
      <c r="AF16" s="693" t="str">
        <f>IF(ISNUMBER(Datos!BV16),Datos!BV16," - ")</f>
        <v xml:space="preserve"> - </v>
      </c>
      <c r="AG16" s="552"/>
      <c r="AH16" s="553"/>
      <c r="AI16" s="554"/>
      <c r="AJ16" s="552">
        <f>IF(ISNUMBER(Datos!M16),Datos!M16," - ")</f>
        <v>1716</v>
      </c>
      <c r="AK16" s="693">
        <f>IF(ISNUMBER(Datos!N16),Datos!N16," - ")</f>
        <v>7079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5.2954829049163958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504</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1178</v>
      </c>
      <c r="Z18" s="805">
        <f>IF(ISNUMBER(Datos!Q18),Datos!Q18," - ")</f>
        <v>5</v>
      </c>
      <c r="AA18" s="551">
        <f>IF(ISNUMBER(Datos!L18),Datos!L18,"-")</f>
        <v>219</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74</v>
      </c>
      <c r="AK18" s="693">
        <f>IF(ISNUMBER(Datos!N18),Datos!N18," - ")</f>
        <v>490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2.0449915110356538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4</v>
      </c>
      <c r="B21" s="746" t="s">
        <v>504</v>
      </c>
      <c r="C21" s="747" t="str">
        <f>Datos!A21</f>
        <v xml:space="preserve">Jdos. de lo Penal                               </v>
      </c>
      <c r="D21" s="601"/>
      <c r="E21" s="1558">
        <f>IF(ISNUMBER(Datos!AQ21),Datos!AQ21," - ")</f>
        <v>4</v>
      </c>
      <c r="F21" s="552">
        <f>IF(ISNUMBER(Datos!L21+Datos!K21-Datos!J21),Datos!L21+Datos!K21-Datos!J21," - ")</f>
        <v>1842</v>
      </c>
      <c r="G21" s="552">
        <f>IF(ISNUMBER(Datos!I21),Datos!I21," - ")</f>
        <v>1845</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2031</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1318</v>
      </c>
      <c r="Z21" s="805">
        <f>IF(ISNUMBER(Datos!Q21),Datos!Q21," - ")</f>
        <v>2331</v>
      </c>
      <c r="AA21" s="551">
        <f>IF(ISNUMBER(Datos!L21),Datos!L21,"-")</f>
        <v>1930</v>
      </c>
      <c r="AB21" s="549"/>
      <c r="AC21" s="549"/>
      <c r="AD21" s="563"/>
      <c r="AE21" s="563">
        <f>IF(ISNUMBER(Datos!R21),Datos!R21," - ")</f>
        <v>4274</v>
      </c>
      <c r="AF21" s="693" t="str">
        <f>IF(ISNUMBER(Datos!BV21),Datos!BV21," - ")</f>
        <v xml:space="preserve"> - </v>
      </c>
      <c r="AG21" s="552"/>
      <c r="AH21" s="553"/>
      <c r="AI21" s="554"/>
      <c r="AJ21" s="552">
        <f>IF(ISNUMBER(Datos!M21),Datos!M21," - ")</f>
        <v>1145</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16.107738998482549</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10</v>
      </c>
      <c r="F23" s="1197">
        <f>SUBTOTAL(9,F16:F22)</f>
        <v>6644</v>
      </c>
      <c r="G23" s="1197">
        <f>SUBTOTAL(9,G16:G22)</f>
        <v>6756</v>
      </c>
      <c r="H23" s="1240">
        <f>SUBTOTAL(9,H16:H22)</f>
        <v>0</v>
      </c>
      <c r="I23" s="1217">
        <f>SUBTOTAL(9,I16:I22)</f>
        <v>0</v>
      </c>
      <c r="J23" s="1164">
        <f>SUBTOTAL(9,J15:J22)</f>
        <v>0</v>
      </c>
      <c r="K23" s="1240">
        <f t="shared" ref="K23:S23" si="5">SUBTOTAL(9,K16:K22)</f>
        <v>0</v>
      </c>
      <c r="L23" s="1240">
        <f t="shared" si="5"/>
        <v>0</v>
      </c>
      <c r="M23" s="1240">
        <f t="shared" si="5"/>
        <v>0</v>
      </c>
      <c r="N23" s="1240">
        <f t="shared" si="5"/>
        <v>2481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14517</v>
      </c>
      <c r="Z23" s="1240">
        <f t="shared" si="6"/>
        <v>2629</v>
      </c>
      <c r="AA23" s="1240">
        <f t="shared" si="6"/>
        <v>7936</v>
      </c>
      <c r="AB23" s="1240">
        <f t="shared" si="6"/>
        <v>0</v>
      </c>
      <c r="AC23" s="1240">
        <f t="shared" si="6"/>
        <v>0</v>
      </c>
      <c r="AD23" s="1240">
        <f t="shared" si="6"/>
        <v>0</v>
      </c>
      <c r="AE23" s="1240">
        <f t="shared" si="6"/>
        <v>4878</v>
      </c>
      <c r="AF23" s="1240">
        <f t="shared" si="6"/>
        <v>0</v>
      </c>
      <c r="AG23" s="1240">
        <f t="shared" si="6"/>
        <v>0</v>
      </c>
      <c r="AH23" s="1240">
        <f t="shared" si="6"/>
        <v>0</v>
      </c>
      <c r="AI23" s="1240">
        <f t="shared" si="6"/>
        <v>0</v>
      </c>
      <c r="AJ23" s="1240">
        <f t="shared" si="6"/>
        <v>2935</v>
      </c>
      <c r="AK23" s="1240">
        <f t="shared" si="6"/>
        <v>7569</v>
      </c>
      <c r="AL23" s="1240">
        <f t="shared" si="6"/>
        <v>0</v>
      </c>
      <c r="AM23" s="1240">
        <f t="shared" si="6"/>
        <v>0</v>
      </c>
      <c r="AN23" s="1240">
        <f t="shared" si="6"/>
        <v>0</v>
      </c>
      <c r="AO23" s="1242">
        <f>IF(ISNUMBER(((NºAsuntos!I23/NºAsuntos!G23)*11)/factor_trimestre),((NºAsuntos!I23/NºAsuntos!G23)*11)/factor_trimestre," - ")</f>
        <v>6.0133636426258867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3</v>
      </c>
      <c r="B28" s="600" t="s">
        <v>506</v>
      </c>
      <c r="C28" s="7" t="str">
        <f>Datos!A28</f>
        <v xml:space="preserve">Jdos. de lo Social                              </v>
      </c>
      <c r="D28" s="562"/>
      <c r="E28" s="1380">
        <f>IF(ISNUMBER(Datos!AQ28),Datos!AQ28," - ")</f>
        <v>3</v>
      </c>
      <c r="F28" s="552">
        <f>IF(ISNUMBER(Datos!L28+Datos!K28-Datos!J28),Datos!L28+Datos!K28-Datos!J28," - ")</f>
        <v>2992</v>
      </c>
      <c r="G28" s="552">
        <f>IF(ISNUMBER(Datos!I28),Datos!I28," - ")</f>
        <v>3018</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157</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2525</v>
      </c>
      <c r="AB28" s="549"/>
      <c r="AC28" s="549"/>
      <c r="AD28" s="563"/>
      <c r="AE28" s="563">
        <f>IF(ISNUMBER(Datos!R28),Datos!R28," - ")</f>
        <v>110</v>
      </c>
      <c r="AF28" s="243" t="str">
        <f>IF(ISNUMBER(Datos!BV28),Datos!BV28," - ")</f>
        <v xml:space="preserve"> - </v>
      </c>
      <c r="AG28" s="552"/>
      <c r="AH28" s="553"/>
      <c r="AI28" s="554"/>
      <c r="AJ28" s="239">
        <f>IF(ISNUMBER(Datos!M28),Datos!M28," - ")</f>
        <v>1056</v>
      </c>
      <c r="AK28" s="245">
        <f>IF(ISNUMBER(Datos!N28),Datos!N28," - ")</f>
        <v>636</v>
      </c>
      <c r="AL28" s="245" t="str">
        <f>IF(ISNUMBER(Datos!BW28),Datos!BW28," - ")</f>
        <v xml:space="preserve"> - </v>
      </c>
      <c r="AM28" s="246" t="str">
        <f>IF(ISNUMBER(Datos!BX28),Datos!BX28," - ")</f>
        <v xml:space="preserve"> - </v>
      </c>
      <c r="AN28" s="404"/>
      <c r="AO28" s="405">
        <f>IF(ISNUMBER(((Datos!L28/Datos!K28)*11)/factor_trimestre),((Datos!L28/Datos!K28)*11)/factor_trimestre," - ")</f>
        <v>8.5646006783842132</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3</v>
      </c>
      <c r="F30" s="1197">
        <f t="shared" si="10"/>
        <v>2992</v>
      </c>
      <c r="G30" s="1197">
        <f t="shared" si="10"/>
        <v>3018</v>
      </c>
      <c r="H30" s="1211">
        <f t="shared" si="10"/>
        <v>0</v>
      </c>
      <c r="I30" s="1197">
        <f t="shared" si="10"/>
        <v>0</v>
      </c>
      <c r="J30" s="1167">
        <f t="shared" si="10"/>
        <v>0</v>
      </c>
      <c r="K30" s="1197">
        <f t="shared" si="10"/>
        <v>0</v>
      </c>
      <c r="L30" s="1197">
        <f t="shared" si="10"/>
        <v>0</v>
      </c>
      <c r="M30" s="1197">
        <f t="shared" si="10"/>
        <v>0</v>
      </c>
      <c r="N30" s="1197">
        <f t="shared" si="10"/>
        <v>157</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2525</v>
      </c>
      <c r="AB30" s="1199">
        <f t="shared" si="11"/>
        <v>0</v>
      </c>
      <c r="AC30" s="1199">
        <f t="shared" si="11"/>
        <v>0</v>
      </c>
      <c r="AD30" s="1210">
        <f t="shared" si="11"/>
        <v>0</v>
      </c>
      <c r="AE30" s="1210">
        <f t="shared" si="11"/>
        <v>110</v>
      </c>
      <c r="AF30" s="1211">
        <f t="shared" si="11"/>
        <v>0</v>
      </c>
      <c r="AG30" s="1197">
        <f t="shared" si="11"/>
        <v>0</v>
      </c>
      <c r="AH30" s="1212">
        <f t="shared" si="11"/>
        <v>0</v>
      </c>
      <c r="AI30" s="1207">
        <f t="shared" si="11"/>
        <v>0</v>
      </c>
      <c r="AJ30" s="1197">
        <f t="shared" si="11"/>
        <v>1056</v>
      </c>
      <c r="AK30" s="1211">
        <f t="shared" si="11"/>
        <v>636</v>
      </c>
      <c r="AL30" s="1198">
        <f t="shared" si="11"/>
        <v>0</v>
      </c>
      <c r="AM30" s="1207">
        <f t="shared" si="11"/>
        <v>0</v>
      </c>
      <c r="AN30" s="1203">
        <f>IF(ISNUMBER(NºAsuntos!G30/NºAsuntos!E30),NºAsuntos!G30/NºAsuntos!E30," - ")</f>
        <v>1.168227665706052</v>
      </c>
      <c r="AO30" s="1219">
        <f>IF(ISNUMBER(((Datos!L30/Datos!K30)*11)/factor_trimestre),((Datos!L30/Datos!K30)*11)/factor_trimestre," - ")</f>
        <v>8.5646006783842132</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24</v>
      </c>
      <c r="F31" s="1117">
        <f t="shared" si="12"/>
        <v>9755</v>
      </c>
      <c r="G31" s="1117">
        <f t="shared" si="12"/>
        <v>9893</v>
      </c>
      <c r="H31" s="1118">
        <f t="shared" si="12"/>
        <v>0</v>
      </c>
      <c r="I31" s="1117">
        <f t="shared" si="12"/>
        <v>0</v>
      </c>
      <c r="J31" s="1119">
        <f t="shared" si="12"/>
        <v>0</v>
      </c>
      <c r="K31" s="1117">
        <f t="shared" si="12"/>
        <v>0</v>
      </c>
      <c r="L31" s="1120">
        <f t="shared" si="12"/>
        <v>0</v>
      </c>
      <c r="M31" s="1117">
        <f t="shared" si="12"/>
        <v>0</v>
      </c>
      <c r="N31" s="1118">
        <f t="shared" si="12"/>
        <v>6423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14719</v>
      </c>
      <c r="Z31" s="1124">
        <f t="shared" si="13"/>
        <v>6006</v>
      </c>
      <c r="AA31" s="1125">
        <f t="shared" si="13"/>
        <v>10576</v>
      </c>
      <c r="AB31" s="1125">
        <f t="shared" si="13"/>
        <v>0</v>
      </c>
      <c r="AC31" s="1125">
        <f t="shared" si="13"/>
        <v>0</v>
      </c>
      <c r="AD31" s="1126">
        <f t="shared" si="13"/>
        <v>0</v>
      </c>
      <c r="AE31" s="1126">
        <f t="shared" si="13"/>
        <v>22331</v>
      </c>
      <c r="AF31" s="1127">
        <f t="shared" si="13"/>
        <v>0</v>
      </c>
      <c r="AG31" s="1128">
        <f t="shared" si="13"/>
        <v>0</v>
      </c>
      <c r="AH31" s="1129">
        <f t="shared" si="13"/>
        <v>0</v>
      </c>
      <c r="AI31" s="1127">
        <f t="shared" si="13"/>
        <v>0</v>
      </c>
      <c r="AJ31" s="1117">
        <f t="shared" si="13"/>
        <v>7488</v>
      </c>
      <c r="AK31" s="1117">
        <f t="shared" si="13"/>
        <v>15745</v>
      </c>
      <c r="AL31" s="1117">
        <f t="shared" si="13"/>
        <v>0</v>
      </c>
      <c r="AM31" s="1130">
        <f t="shared" si="13"/>
        <v>0</v>
      </c>
      <c r="AN31" s="1120">
        <f>IF(ISNUMBER(Datos!K31/Datos!J31),Datos!K31/Datos!J31," - ")</f>
        <v>0.93764334862385323</v>
      </c>
      <c r="AO31" s="1120">
        <f>IF(ISNUMBER(FIND("06",Criterios!A8,1)),(IF(ISNUMBER(((Datos!R31/Datos!Q31)*11)/factor_trimestre),((Datos!R31/Datos!Q31)*11)/factor_trimestre," - ")),(IF(ISNUMBER(((Datos!L31/Datos!K31)*11)/factor_trimestre),((Datos!L31/Datos!K31)*11)/factor_trimestre," - ")))</f>
        <v>8.8137899403760898</v>
      </c>
      <c r="AP31" s="1131" t="str">
        <f>IF(ISNUMBER(Datos!CI31/Datos!CJ31),Datos!CI31/Datos!CJ31," - ")</f>
        <v xml:space="preserve"> - </v>
      </c>
      <c r="AQ31" s="1131">
        <f>IF(OR(ISNUMBER(FIND("01",Criterios!A8,1)),ISNUMBER(FIND("02",Criterios!A8,1)),ISNUMBER(FIND("03",Criterios!A8,1)),ISNUMBER(FIND("04",Criterios!A8,1))),(J31-Y31+K31)/(F31-K31),(I31-Y31+K31)/(F31-K31))</f>
        <v>-1.5088672475653511</v>
      </c>
      <c r="AR31" s="1131">
        <f>IF(ISNUMBER((Datos!P31-Datos!Q31+O31)/(Datos!R31-Datos!P31+Datos!Q31-O31)),(Datos!P31-Datos!Q31+O31)/(Datos!R31-Datos!P31+Datos!Q31-O31)," - ")</f>
        <v>1.0864152822416368E-2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2198.4444444444443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2418.5988121814898</v>
      </c>
      <c r="G33" s="674">
        <f>IF(ISNUMBER(STDEV(G8:G30)),STDEV(G8:G30),"-")</f>
        <v>2393.2504628178344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1192.5519161559687</v>
      </c>
      <c r="AK33" s="276"/>
      <c r="AL33" s="276">
        <f>IF(ISNUMBER(STDEV(AL8:AL30)),STDEV(AL8:AL30),"-")</f>
        <v>0</v>
      </c>
      <c r="AM33" s="278">
        <f>IF(ISNUMBER(STDEV(AM8:AM30)),STDEV(AM8:AM30),"-")</f>
        <v>0</v>
      </c>
      <c r="AN33" s="660">
        <f>IF(ISNUMBER(STDEV(AN8:AN30)),STDEV(AN8:AN30),"-")</f>
        <v>0.67447655727015721</v>
      </c>
      <c r="AO33" s="661">
        <f>IF(ISNUMBER(STDEV(AO8:AO30)),STDEV(AO8:AO30),"-")</f>
        <v>4.1901958252482991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8lzKs47XvWwdRJUK8Lv19FJaC113276sCd6iHOdqyuvgV2RsAWESnvr27COsKNO6tavJucJDHw2H2t2XBKz4iQ==" saltValue="a5Q6u8Xa3DgJfY85OGki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y44ZUBxOJunCFvg7m7Hjwl6YuBjKe82p/UKLque+7z5JwMWFtZPsogsDujM2+5M12V0BKijCVmqBVkQegaFGDw==" saltValue="4P4yTtPMwUQYFXAQXD+T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6lXUKqLskUGEgseMrtHUOlcIXkdo7sjh4lmYhozqEjvAX/UVogXdxqIVWpVAJ0AjNNi4TiOwbRGO2/lIQo1CVw==" saltValue="ijsYuG+c7VUh474PYrFT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SABADELL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0.21250607681088965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0.15026448795632941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3ZXN9qKSDO31ixQ14Jq3OFw4vU3xkAqhbMBs8tm7LYaDxIpVwfrdoJ8dTDw9UHWcHTnXqgZhIBcUYqnFJU/gQ==" saltValue="xulwloA1ZDpx47qgoO5p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9JMiPWbO4SAVMmGvV9BpwUF+hDg0Aq8880SIjYrqmRoYh0rL4aUwYajHKUPfxSG/7fi/W5CZwCs5UFnO7FZxQ==" saltValue="mQ83TjIlvv5D44Y+Sind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156</v>
      </c>
      <c r="B3" s="439" t="str">
        <f>Criterios!A10 &amp;"  "&amp;Criterios!B10</f>
        <v>Provincias  BARCELONA</v>
      </c>
      <c r="D3" s="436"/>
      <c r="E3" s="436"/>
      <c r="F3" s="436"/>
    </row>
    <row r="4" spans="1:14" ht="13.5" thickBot="1">
      <c r="A4" s="436"/>
      <c r="B4" s="439" t="str">
        <f>Criterios!A11 &amp;"  "&amp;Criterios!B11</f>
        <v>Resumenes por Partidos Judiciales  SABADELL</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13204</v>
      </c>
      <c r="D9" s="452">
        <f>IF(ISNUMBER(C9/Datos!BH9),C9/Datos!BH9," - ")</f>
        <v>1650.5</v>
      </c>
      <c r="E9" s="451">
        <f>IF(ISNUMBER(IF(J_V="SI",Datos!J9,Datos!J9+Datos!Z9)),IF(J_V="SI",Datos!J9,Datos!J9+Datos!Z9)," - ")</f>
        <v>15080</v>
      </c>
      <c r="F9" s="452">
        <f>IF(ISNUMBER(E9/B9),E9/B9," - ")</f>
        <v>1885</v>
      </c>
      <c r="G9" s="451">
        <f>IF(ISNUMBER(IF(J_V="SI",Datos!K9,Datos!K9+Datos!AA9)),IF(J_V="SI",Datos!K9,Datos!K9+Datos!AA9)," - ")</f>
        <v>13350</v>
      </c>
      <c r="H9" s="452">
        <f>IF(ISNUMBER(G9/B9),G9/B9," - ")</f>
        <v>1668.75</v>
      </c>
      <c r="I9" s="451">
        <f>IF(ISNUMBER(IF(J_V="SI",Datos!L9,Datos!L9+Datos!AB9)),IF(J_V="SI",Datos!L9,Datos!L9+Datos!AB9)," - ")</f>
        <v>15002</v>
      </c>
      <c r="J9" s="452">
        <f>IF(ISNUMBER(I9/B9),I9/B9," - ")</f>
        <v>1875.25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119</v>
      </c>
      <c r="D10" s="452">
        <f>IF(ISNUMBER(C10/Datos!BH10),C10/Datos!BH10," - ")</f>
        <v>119</v>
      </c>
      <c r="E10" s="451">
        <f>IF(ISNUMBER(Datos!J10),Datos!J10," - ")</f>
        <v>198</v>
      </c>
      <c r="F10" s="452">
        <f>IF(ISNUMBER(E10/B10),E10/B10," - ")</f>
        <v>198</v>
      </c>
      <c r="G10" s="451">
        <f>IF(ISNUMBER(Datos!K10),Datos!K10," - ")</f>
        <v>202</v>
      </c>
      <c r="H10" s="452">
        <f>IF(ISNUMBER(G10/B10),G10/B10," - ")</f>
        <v>202</v>
      </c>
      <c r="I10" s="451">
        <f>IF(ISNUMBER(Datos!L10),Datos!L10," - ")</f>
        <v>115</v>
      </c>
      <c r="J10" s="452">
        <f>IF(ISNUMBER(I10/B10),I10/B10," - ")</f>
        <v>115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1172</v>
      </c>
      <c r="D11" s="452">
        <f>IF(ISNUMBER(C11/Datos!BH11),C11/Datos!BH11," - ")</f>
        <v>586</v>
      </c>
      <c r="E11" s="451">
        <f>IF(ISNUMBER(IF(J_V="SI",Datos!J11,Datos!J11+Datos!Z11)),IF(J_V="SI",Datos!J11,Datos!J11+Datos!Z11)," - ")</f>
        <v>2890</v>
      </c>
      <c r="F11" s="452">
        <f>IF(ISNUMBER(E11/B11),E11/B11," - ")</f>
        <v>1445</v>
      </c>
      <c r="G11" s="451">
        <f>IF(ISNUMBER(IF(J_V="SI",Datos!K11,Datos!K11+Datos!AA11)),IF(J_V="SI",Datos!K11,Datos!K11+Datos!AA11)," - ")</f>
        <v>2904</v>
      </c>
      <c r="H11" s="452">
        <f>IF(ISNUMBER(G11/B11),G11/B11," - ")</f>
        <v>1452</v>
      </c>
      <c r="I11" s="451">
        <f>IF(ISNUMBER(IF(J_V="SI",Datos!L11,Datos!L11+Datos!AB11)),IF(J_V="SI",Datos!L11,Datos!L11+Datos!AB11)," - ")</f>
        <v>1095</v>
      </c>
      <c r="J11" s="452">
        <f>IF(ISNUMBER(I11/B11),I11/B11," - ")</f>
        <v>547.5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14495</v>
      </c>
      <c r="D14" s="1147" t="str">
        <f>IF(ISNUMBER(C14/Datos!BI14),C14/Datos!BI14," - ")</f>
        <v xml:space="preserve"> - </v>
      </c>
      <c r="E14" s="1146">
        <f>SUBTOTAL(9,E8:E13)</f>
        <v>18168</v>
      </c>
      <c r="F14" s="1147">
        <f>IF(ISNUMBER(E14/B14),E14/B14," - ")</f>
        <v>1651.6363636363637</v>
      </c>
      <c r="G14" s="1146">
        <f>SUBTOTAL(9,G8:G13)</f>
        <v>16456</v>
      </c>
      <c r="H14" s="1147">
        <f>IF(ISNUMBER(G14/B14),G14/B14," - ")</f>
        <v>1496</v>
      </c>
      <c r="I14" s="1146">
        <f>SUBTOTAL(9,I8:I13)</f>
        <v>16212</v>
      </c>
      <c r="J14" s="1147">
        <f>IF(ISNUMBER(I14/B14),I14/B14," - ")</f>
        <v>1473.8181818181818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4688</v>
      </c>
      <c r="D16" s="452">
        <f>IF(ISNUMBER(C16/Datos!BH16),C16/Datos!BH16," - ")</f>
        <v>937.6</v>
      </c>
      <c r="E16" s="451">
        <f>IF(ISNUMBER(IF(D_I="SI",Datos!J16,Datos!J16+Datos!AD16)),IF(D_I="SI",Datos!J16,Datos!J16+Datos!AD16)," - ")</f>
        <v>13006</v>
      </c>
      <c r="F16" s="452">
        <f>IF(ISNUMBER(E16/B16),E16/B16," - ")</f>
        <v>2601.1999999999998</v>
      </c>
      <c r="G16" s="451">
        <f>IF(ISNUMBER(IF(D_I="SI",Datos!K16,Datos!K16+Datos!AE16)),IF(D_I="SI",Datos!K16,Datos!K16+Datos!AE16)," - ")</f>
        <v>12021</v>
      </c>
      <c r="H16" s="452">
        <f>IF(ISNUMBER(G16/B16),G16/B16," - ")</f>
        <v>2404.1999999999998</v>
      </c>
      <c r="I16" s="451">
        <f>IF(ISNUMBER(IF(D_I="SI",Datos!L16,Datos!L16+Datos!AF16)),IF(D_I="SI",Datos!L16,Datos!L16+Datos!AF16)," - ")</f>
        <v>5787</v>
      </c>
      <c r="J16" s="452">
        <f>IF(ISNUMBER(I16/B16),I16/B16," - ")</f>
        <v>1157.4000000000001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223</v>
      </c>
      <c r="D18" s="452">
        <f>IF(ISNUMBER(C18/Datos!BH18),C18/Datos!BH18," - ")</f>
        <v>223</v>
      </c>
      <c r="E18" s="451">
        <f>IF(ISNUMBER(IF(D_I="SI",Datos!J18,Datos!J18+Datos!AD18)),IF(D_I="SI",Datos!J18,Datos!J18+Datos!AD18)," - ")</f>
        <v>1174</v>
      </c>
      <c r="F18" s="452">
        <f>IF(ISNUMBER(E18/B18),E18/B18," - ")</f>
        <v>1174</v>
      </c>
      <c r="G18" s="451">
        <f>IF(ISNUMBER(IF(D_I="SI",Datos!K18,Datos!K18+Datos!AE18)),IF(D_I="SI",Datos!K18,Datos!K18+Datos!AE18)," - ")</f>
        <v>1178</v>
      </c>
      <c r="H18" s="452">
        <f>IF(ISNUMBER(G18/B18),G18/B18," - ")</f>
        <v>1178</v>
      </c>
      <c r="I18" s="451">
        <f>IF(ISNUMBER(IF(D_I="SI",Datos!L18,Datos!L18+Datos!AF18)),IF(D_I="SI",Datos!L18,Datos!L18+Datos!AF18)," - ")</f>
        <v>219</v>
      </c>
      <c r="J18" s="452">
        <f>IF(ISNUMBER(I18/B18),I18/B18," - ")</f>
        <v>219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4</v>
      </c>
      <c r="C21" s="451">
        <f>IF(ISNUMBER(Datos!I21),Datos!I21," - ")</f>
        <v>1845</v>
      </c>
      <c r="D21" s="452">
        <f>IF(ISNUMBER(C21/Datos!BH21),C21/Datos!BH21," - ")</f>
        <v>461.25</v>
      </c>
      <c r="E21" s="451">
        <f>IF(ISNUMBER(Datos!J21),Datos!J21," - ")</f>
        <v>1406</v>
      </c>
      <c r="F21" s="452">
        <f>IF(ISNUMBER(E21/B21),E21/B21," - ")</f>
        <v>351.5</v>
      </c>
      <c r="G21" s="451">
        <f>IF(ISNUMBER(Datos!K21),Datos!K21," - ")</f>
        <v>1318</v>
      </c>
      <c r="H21" s="452">
        <f>IF(ISNUMBER(G21/B21),G21/B21," - ")</f>
        <v>329.5</v>
      </c>
      <c r="I21" s="451">
        <f>IF(ISNUMBER(Datos!L21),Datos!L21," - ")</f>
        <v>1930</v>
      </c>
      <c r="J21" s="452">
        <f>IF(ISNUMBER(I21/B21),I21/B21," - ")</f>
        <v>482.5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6756</v>
      </c>
      <c r="D23" s="1147" t="str">
        <f>IF(ISNUMBER(C23/Datos!BI23),C23/Datos!BI23," - ")</f>
        <v xml:space="preserve"> - </v>
      </c>
      <c r="E23" s="1146">
        <f>SUBTOTAL(9,E15:E22)</f>
        <v>15586</v>
      </c>
      <c r="F23" s="1147">
        <f>IF(ISNUMBER(E23/B23),E23/B23," - ")</f>
        <v>1558.6</v>
      </c>
      <c r="G23" s="1146">
        <f>SUBTOTAL(9,G15:G22)</f>
        <v>14517</v>
      </c>
      <c r="H23" s="1147">
        <f>IF(ISNUMBER(G23/B23),G23/B23," - ")</f>
        <v>1451.7</v>
      </c>
      <c r="I23" s="1146">
        <f>SUBTOTAL(9,I15:I22)</f>
        <v>7936</v>
      </c>
      <c r="J23" s="1147">
        <f>IF(ISNUMBER(I23/B23),I23/B23," - ")</f>
        <v>793.6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3</v>
      </c>
      <c r="C28" s="451">
        <f>IF(ISNUMBER(Datos!I28),Datos!I28," - ")</f>
        <v>3018</v>
      </c>
      <c r="D28" s="452">
        <f>IF(ISNUMBER(C28/Datos!BH28),C28/Datos!BH28," - ")</f>
        <v>1006</v>
      </c>
      <c r="E28" s="451">
        <f>IF(ISNUMBER(Datos!J28),Datos!J28," - ")</f>
        <v>2776</v>
      </c>
      <c r="F28" s="452">
        <f>IF(ISNUMBER(E28/B28),E28/B28," - ")</f>
        <v>925.33333333333337</v>
      </c>
      <c r="G28" s="451">
        <f>IF(ISNUMBER(Datos!K28),Datos!K28," - ")</f>
        <v>3243</v>
      </c>
      <c r="H28" s="452">
        <f>IF(ISNUMBER(G28/B28),G28/B28," - ")</f>
        <v>1081</v>
      </c>
      <c r="I28" s="451">
        <f>IF(ISNUMBER(Datos!L28),Datos!L28," - ")</f>
        <v>2525</v>
      </c>
      <c r="J28" s="452">
        <f>IF(ISNUMBER(I28/B28),I28/B28," - ")</f>
        <v>841.66666666666663</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3</v>
      </c>
      <c r="C30" s="1146">
        <f>SUBTOTAL(9,C28:C29)</f>
        <v>3018</v>
      </c>
      <c r="D30" s="1147" t="str">
        <f>IF(ISNUMBER(C30/Datos!BI30),C30/Datos!BI30," - ")</f>
        <v xml:space="preserve"> - </v>
      </c>
      <c r="E30" s="1146">
        <f>SUBTOTAL(9,E28:E29)</f>
        <v>2776</v>
      </c>
      <c r="F30" s="1147">
        <f>IF(ISNUMBER(E30/B30),E30/B30," - ")</f>
        <v>925.33333333333337</v>
      </c>
      <c r="G30" s="1146">
        <f>SUBTOTAL(9,G28:G29)</f>
        <v>3243</v>
      </c>
      <c r="H30" s="1147">
        <f>IF(ISNUMBER(G30/B30),G30/B30," - ")</f>
        <v>1081</v>
      </c>
      <c r="I30" s="1146">
        <f>SUBTOTAL(9,I28:I29)</f>
        <v>2525</v>
      </c>
      <c r="J30" s="1147">
        <f>IF(ISNUMBER(I30/B30),I30/B30," - ")</f>
        <v>841.66666666666663</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23</v>
      </c>
      <c r="C31" s="1084">
        <f>SUBTOTAL(9,C9:C30)</f>
        <v>24269</v>
      </c>
      <c r="D31" s="1085" t="str">
        <f>IF(ISNUMBER(C31/Datos!BI31),C31/Datos!BI31," - ")</f>
        <v xml:space="preserve"> - </v>
      </c>
      <c r="E31" s="1084">
        <f>SUBTOTAL(9,E9:E30)</f>
        <v>36530</v>
      </c>
      <c r="F31" s="1085">
        <f>IF(ISNUMBER(E31/B31),E31/B31," - ")</f>
        <v>1588.2608695652175</v>
      </c>
      <c r="G31" s="1084">
        <f>SUBTOTAL(9,G9:G30)</f>
        <v>34216</v>
      </c>
      <c r="H31" s="1085">
        <f>IF(ISNUMBER(G31/B31),G31/B31," - ")</f>
        <v>1487.6521739130435</v>
      </c>
      <c r="I31" s="1084">
        <f>SUBTOTAL(9,I9:I30)</f>
        <v>26673</v>
      </c>
      <c r="J31" s="1085">
        <f>IF(ISNUMBER(I31/B31),I31/B31," - ")</f>
        <v>1159.695652173913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rT/RjPPRS0nFAE2iKbQ99mFAqTqxrcxrWZFHRRWSMe+GQ0AYoN7a0B9SvGRVTrdjtwzqV9iSrSgMa5R6kgrAA==" saltValue="fBeIYJuUZiIIY0RzgwbK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SABADELL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315</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1</v>
      </c>
      <c r="F10" s="905">
        <f>IF(ISNUMBER(Datos!L10+Datos!K10-Datos!J10),Datos!L10+Datos!K10-Datos!J10," - ")</f>
        <v>119</v>
      </c>
      <c r="G10" s="906">
        <f>IF(ISNUMBER(Datos!I10),Datos!I10," - ")</f>
        <v>119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202</v>
      </c>
      <c r="AC10" s="905" t="str">
        <f>IF(ISNUMBER(IF(D_I="SI",DatosP!K18,DatosP!K18+DatosP!AE18)),IF(D_I="SI",DatosP!K18,DatosP!K18+DatosP!AE18)," - ")</f>
        <v xml:space="preserve"> - </v>
      </c>
      <c r="AD10" s="907"/>
      <c r="AE10" s="907"/>
      <c r="AF10" s="910">
        <f>IF(ISNUMBER(Datos!L10),Datos!L10,"-")</f>
        <v>115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62</v>
      </c>
      <c r="AM10" s="914">
        <f>IF(ISNUMBER(Datos!N10+DatosP!N18),Datos!N10+DatosP!N18," - ")</f>
        <v>53</v>
      </c>
      <c r="AN10" s="914">
        <f>IF(ISNUMBER(Datos!BW10+DatosP!BW18),Datos!BW10+DatosP!BW18," - ")</f>
        <v>0</v>
      </c>
      <c r="AO10" s="915">
        <f>IF(ISNUMBER(Datos!BX10+DatosP!BX18),Datos!BX10+DatosP!BX18," - ")</f>
        <v>0</v>
      </c>
      <c r="AP10" s="917">
        <f>IF(ISNUMBER(((Datos!L10/Datos!K10)*11)/factor_trimestre),((Datos!L10/Datos!K10)*11)/factor_trimestre," - ")</f>
        <v>6.2623762376237622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315</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315</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119</v>
      </c>
      <c r="G14" s="1256">
        <f t="shared" si="0"/>
        <v>119</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202</v>
      </c>
      <c r="AC14" s="1257">
        <f t="shared" si="1"/>
        <v>0</v>
      </c>
      <c r="AD14" s="1257">
        <f t="shared" si="1"/>
        <v>0</v>
      </c>
      <c r="AE14" s="1257">
        <f t="shared" si="1"/>
        <v>0</v>
      </c>
      <c r="AF14" s="1257">
        <f t="shared" si="1"/>
        <v>115</v>
      </c>
      <c r="AG14" s="1257">
        <f t="shared" si="1"/>
        <v>0</v>
      </c>
      <c r="AH14" s="1257">
        <f t="shared" si="1"/>
        <v>0</v>
      </c>
      <c r="AI14" s="1257">
        <f t="shared" si="1"/>
        <v>0</v>
      </c>
      <c r="AJ14" s="1257">
        <f t="shared" si="1"/>
        <v>0</v>
      </c>
      <c r="AK14" s="1257">
        <f t="shared" si="1"/>
        <v>0</v>
      </c>
      <c r="AL14" s="1257">
        <f t="shared" si="1"/>
        <v>62</v>
      </c>
      <c r="AM14" s="1257">
        <f t="shared" si="1"/>
        <v>53</v>
      </c>
      <c r="AN14" s="1257">
        <f t="shared" si="1"/>
        <v>0</v>
      </c>
      <c r="AO14" s="1257">
        <f t="shared" si="1"/>
        <v>0</v>
      </c>
      <c r="AP14" s="1262">
        <f>IF(ISNUMBER(((Datos!L14/Datos!K14)*11)/factor_trimestre),((Datos!L14/Datos!K14)*11)/factor_trimestre," - ")</f>
        <v>11.588089662094346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-1.6974789915966386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4</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6.0133636426258867</v>
      </c>
      <c r="AQ23" s="1262">
        <f>IF(ISNUMBER(((Datos!M23/Datos!L23)*11)/factor_trimestre),((Datos!M23/Datos!L23)*11)/factor_trimestre," - ")</f>
        <v>4.068170362903226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-2.9446876243533624E-2</v>
      </c>
      <c r="AW23" s="1265">
        <f>IF(ISNUMBER((Datos!Q23-Datos!R23)/(Datos!S23-Datos!Q23+Datos!R23)),(Datos!Q23-Datos!R23)/(Datos!S23-Datos!Q23+Datos!R23)," - ")</f>
        <v>-0.26940584571154769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3</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8.5646006783842132</v>
      </c>
      <c r="AQ30" s="1262">
        <f>IF(ISNUMBER(((Datos!M30/Datos!L30)*11)/factor_trimestre),((Datos!M30/Datos!L30)*11)/factor_trimestre," - ")</f>
        <v>4.60039603960396</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-0.15384615384615385</v>
      </c>
      <c r="AW30" s="1265">
        <f>IF(ISNUMBER((Datos!Q30-Datos!R30)/(Datos!S30-Datos!Q30+Datos!R30)),(Datos!Q30-Datos!R30)/(Datos!S30-Datos!Q30+Datos!R30)," - ")</f>
        <v>2.2505878401074906E-2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119</v>
      </c>
      <c r="G31" s="1278">
        <f t="shared" si="8"/>
        <v>119</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202</v>
      </c>
      <c r="AC31" s="1284">
        <f t="shared" si="9"/>
        <v>0</v>
      </c>
      <c r="AD31" s="1284">
        <f t="shared" si="9"/>
        <v>0</v>
      </c>
      <c r="AE31" s="1284">
        <f t="shared" si="9"/>
        <v>0</v>
      </c>
      <c r="AF31" s="1285">
        <f t="shared" si="9"/>
        <v>115</v>
      </c>
      <c r="AG31" s="1285">
        <f t="shared" si="9"/>
        <v>0</v>
      </c>
      <c r="AH31" s="1285">
        <f t="shared" si="9"/>
        <v>0</v>
      </c>
      <c r="AI31" s="1285">
        <f t="shared" si="9"/>
        <v>0</v>
      </c>
      <c r="AJ31" s="1286">
        <f t="shared" si="9"/>
        <v>0</v>
      </c>
      <c r="AK31" s="1286">
        <f t="shared" si="9"/>
        <v>0</v>
      </c>
      <c r="AL31" s="1278">
        <f t="shared" si="9"/>
        <v>62</v>
      </c>
      <c r="AM31" s="1278">
        <f t="shared" si="9"/>
        <v>53</v>
      </c>
      <c r="AN31" s="1278">
        <f t="shared" si="9"/>
        <v>0</v>
      </c>
      <c r="AO31" s="1278">
        <f t="shared" si="9"/>
        <v>0</v>
      </c>
      <c r="AP31" s="1278">
        <f>IF(ISNUMBER(((Datos!L31/Datos!K31)*11)/factor_trimestre),((Datos!L31/Datos!K31)*11)/factor_trimestre," - ")</f>
        <v>8.8137899403760898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-1.6974789915966386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1.0864152822416368E-2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4.1264728010466492</v>
      </c>
      <c r="F33" s="1006">
        <f>IF(ISNUMBER(STDEV(F8:F30)),STDEV(F8:F30),"-")</f>
        <v>65.178984343114763</v>
      </c>
      <c r="G33" s="1007">
        <f>IF(ISNUMBER(STDEV(G8:G30)),STDEV(G8:G30),"-")</f>
        <v>65.178984343114763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110.63995661604356</v>
      </c>
      <c r="AC33" s="1008">
        <f>IF(ISNUMBER(STDEV(AC8:AC30)),STDEV(AC8:AC30),"-")</f>
        <v>0</v>
      </c>
      <c r="AD33" s="1011"/>
      <c r="AE33" s="1011"/>
      <c r="AF33" s="1011"/>
      <c r="AG33" s="1011"/>
      <c r="AH33" s="1011"/>
      <c r="AI33" s="1011"/>
      <c r="AJ33" s="1012">
        <f>IF(ISNUMBER(STDEV(AJ8:AJ30)),STDEV(AJ8:AJ30),"-")</f>
        <v>0</v>
      </c>
      <c r="AK33" s="1014"/>
      <c r="AL33" s="1006">
        <f>IF(ISNUMBER(STDEV(AL8:AL30)),STDEV(AL8:AL30),"-")</f>
        <v>33.958798565320301</v>
      </c>
      <c r="AM33" s="1006"/>
      <c r="AN33" s="1006">
        <f>IF(ISNUMBER(STDEV(AN8:AN30)),STDEV(AN8:AN30),"-")</f>
        <v>0</v>
      </c>
      <c r="AO33" s="1012">
        <f>IF(ISNUMBER(STDEV(AO8:AO30)),STDEV(AO8:AO30),"-")</f>
        <v>0</v>
      </c>
      <c r="AP33" s="1065">
        <f>IF(ISNUMBER(STDEV(AP8:AP30)),STDEV(AP8:AP30),"-")</f>
        <v>2.5892942147598905</v>
      </c>
      <c r="AQ33" s="1065">
        <f>IF(ISNUMBER(STDEV(AQ8:AQ30)),STDEV(AQ8:AQ30),"-")</f>
        <v>0.37634038511668816</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0YJxWu6AKN5iTVhgjMmRyX17xfTgxtijzdvFcOXLWN1DZG9zqhk5pINlWB/0jurmdK3dznax+Idr/Uvg/nA/Q==" saltValue="U3CasqN34fh+vJh0+on1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276</v>
      </c>
      <c r="B3" s="439" t="str">
        <f>Criterios!A10 &amp;"  "&amp;Criterios!B10</f>
        <v>Provincias  BARCELONA</v>
      </c>
      <c r="C3" s="463"/>
      <c r="F3" s="436"/>
      <c r="G3" s="436"/>
      <c r="H3" s="436"/>
    </row>
    <row r="4" spans="1:15" ht="13.5" thickBot="1">
      <c r="A4" s="436"/>
      <c r="B4" s="439" t="str">
        <f>Criterios!A11 &amp;"  "&amp;Criterios!B11</f>
        <v>Resumenes por Partidos Judiciales  SABADELL</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4</v>
      </c>
      <c r="D21" s="451">
        <f>Datos!BK21</f>
        <v>0</v>
      </c>
      <c r="E21" s="451">
        <f>Datos!AQ21</f>
        <v>4</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3</v>
      </c>
      <c r="D28" s="451">
        <f>Datos!BK28</f>
        <v>0</v>
      </c>
      <c r="E28" s="451">
        <f>Datos!AQ28</f>
        <v>3</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BZhMlQgK7vU1Ypu+RG0TFX5wDDpLUnBJHCxyXMpAVTiYRqd2wcZn0OMmvcmGu1TXHKOFFySo1xMbijDmXzd7A==" saltValue="TbeXWXbpZNeQM5dF1jw9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SABADELL</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2546</v>
      </c>
      <c r="E9" s="452">
        <f t="shared" ref="E9:E14" si="0">IF(ISNUMBER(D9/B9),D9/B9," - ")</f>
        <v>318.25</v>
      </c>
      <c r="F9" s="451">
        <f>IF(ISNUMBER(Datos!N9),Datos!N9," - ")</f>
        <v>6138</v>
      </c>
      <c r="G9" s="452">
        <f t="shared" ref="G9:G14" si="1">IF(ISNUMBER(F9/B9),F9/B9," - ")</f>
        <v>767.25</v>
      </c>
      <c r="H9" s="451">
        <f>IF(ISNUMBER(Datos!O9),Datos!O9," - ")</f>
        <v>6076</v>
      </c>
      <c r="I9" s="452">
        <f>IF(ISNUMBER(H9/B9),H9/B9," - ")</f>
        <v>759.5</v>
      </c>
    </row>
    <row r="10" spans="1:9">
      <c r="A10" s="450" t="str">
        <f>Datos!A10</f>
        <v>Jdos. Violencia contra la mujer</v>
      </c>
      <c r="B10" s="480">
        <f>Datos!AO10</f>
        <v>1</v>
      </c>
      <c r="C10" s="458">
        <f>Datos!AQ10</f>
        <v>1</v>
      </c>
      <c r="D10" s="451">
        <f>IF(ISNUMBER(Datos!M10),Datos!M10," - ")</f>
        <v>62</v>
      </c>
      <c r="E10" s="452">
        <f>IF(ISNUMBER(D10/B10),D10/B10," - ")</f>
        <v>62</v>
      </c>
      <c r="F10" s="451">
        <f>IF(ISNUMBER(Datos!N10),Datos!N10," - ")</f>
        <v>53</v>
      </c>
      <c r="G10" s="452">
        <f>IF(ISNUMBER(F10/B10),F10/B10," - ")</f>
        <v>53</v>
      </c>
      <c r="H10" s="451">
        <f>IF(ISNUMBER(Datos!O10),Datos!O10," - ")</f>
        <v>48</v>
      </c>
      <c r="I10" s="452">
        <f t="shared" ref="I10:I13" si="2">IF(ISNUMBER(H10/B10),H10/B10," - ")</f>
        <v>48</v>
      </c>
    </row>
    <row r="11" spans="1:9">
      <c r="A11" s="450" t="str">
        <f>Datos!A11</f>
        <v xml:space="preserve">Jdos. Familia                                   </v>
      </c>
      <c r="B11" s="480">
        <f>Datos!AO11</f>
        <v>2</v>
      </c>
      <c r="C11" s="458">
        <f>Datos!AQ11</f>
        <v>2</v>
      </c>
      <c r="D11" s="451">
        <f>IF(ISNUMBER(Datos!M11),Datos!M11," - ")</f>
        <v>889</v>
      </c>
      <c r="E11" s="452">
        <f t="shared" si="0"/>
        <v>444.5</v>
      </c>
      <c r="F11" s="451">
        <f>IF(ISNUMBER(Datos!N11),Datos!N11," - ")</f>
        <v>1349</v>
      </c>
      <c r="G11" s="452">
        <f t="shared" si="1"/>
        <v>674.5</v>
      </c>
      <c r="H11" s="451">
        <f>IF(ISNUMBER(Datos!O11),Datos!O11," - ")</f>
        <v>696</v>
      </c>
      <c r="I11" s="452">
        <f t="shared" si="2"/>
        <v>348</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3497</v>
      </c>
      <c r="E14" s="1147">
        <f t="shared" si="0"/>
        <v>317.90909090909093</v>
      </c>
      <c r="F14" s="1146">
        <f>SUBTOTAL(9,F9:F13)</f>
        <v>7540</v>
      </c>
      <c r="G14" s="1147">
        <f t="shared" si="1"/>
        <v>685.4545454545455</v>
      </c>
      <c r="H14" s="1146">
        <f>SUBTOTAL(9,H9:H13)</f>
        <v>6820</v>
      </c>
      <c r="I14" s="1147">
        <f>IF(ISNUMBER(H14/B14),H14/B14," - ")</f>
        <v>620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1716</v>
      </c>
      <c r="E16" s="452">
        <f t="shared" ref="E16:E23" si="3">IF(ISNUMBER(D16/B16),D16/B16," - ")</f>
        <v>343.2</v>
      </c>
      <c r="F16" s="451">
        <f>IF(ISNUMBER(Datos!N16),Datos!N16," - ")</f>
        <v>7079</v>
      </c>
      <c r="G16" s="452">
        <f t="shared" ref="G16:G23" si="4">IF(ISNUMBER(F16/B16),F16/B16," - ")</f>
        <v>1415.8</v>
      </c>
      <c r="H16" s="451">
        <f>IF(ISNUMBER(Datos!O16),Datos!O16," - ")</f>
        <v>148</v>
      </c>
      <c r="I16" s="452">
        <f t="shared" ref="I16:I22" si="5">IF(ISNUMBER(H16/B16),H16/B16," - ")</f>
        <v>29.6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74</v>
      </c>
      <c r="E18" s="452">
        <f>IF(ISNUMBER(D18/B18),D18/B18," - ")</f>
        <v>74</v>
      </c>
      <c r="F18" s="451">
        <f>IF(ISNUMBER(Datos!N18),Datos!N18," - ")</f>
        <v>490</v>
      </c>
      <c r="G18" s="452">
        <f>IF(ISNUMBER(F18/B18),F18/B18," - ")</f>
        <v>490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4</v>
      </c>
      <c r="C21" s="481">
        <f>Datos!AQ21</f>
        <v>4</v>
      </c>
      <c r="D21" s="451">
        <f>IF(ISNUMBER(Datos!M21),Datos!M21," - ")</f>
        <v>1145</v>
      </c>
      <c r="E21" s="452">
        <f t="shared" si="3"/>
        <v>286.25</v>
      </c>
      <c r="F21" s="451">
        <f>IF(ISNUMBER(Datos!N21),Datos!N21," - ")</f>
        <v>1429</v>
      </c>
      <c r="G21" s="452">
        <f t="shared" si="4"/>
        <v>357.25</v>
      </c>
      <c r="H21" s="451">
        <f>IF(ISNUMBER(Datos!O21),Datos!O21," - ")</f>
        <v>39</v>
      </c>
      <c r="I21" s="452">
        <f t="shared" si="5"/>
        <v>9.75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2935</v>
      </c>
      <c r="E23" s="1147">
        <f t="shared" si="3"/>
        <v>293.5</v>
      </c>
      <c r="F23" s="1146">
        <f>SUBTOTAL(9,F16:F22)</f>
        <v>8998</v>
      </c>
      <c r="G23" s="1147">
        <f t="shared" si="4"/>
        <v>899.8</v>
      </c>
      <c r="H23" s="1146">
        <f>SUBTOTAL(9,H16:H22)</f>
        <v>187</v>
      </c>
      <c r="I23" s="1147">
        <f>IF(ISNUMBER(H23/B23),H23/B23," - ")</f>
        <v>18.7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3</v>
      </c>
      <c r="C28" s="482">
        <f>Datos!AQ28-IF(ISNUMBER(Datos!AQ29),Datos!AQ29,0)</f>
        <v>3</v>
      </c>
      <c r="D28" s="483">
        <f>IF(ISNUMBER(Datos!M28),Datos!M28," - ")</f>
        <v>1056</v>
      </c>
      <c r="E28" s="452">
        <f t="shared" ref="E28:E30" si="9">IF(ISNUMBER(D28/B28),D28/B28," - ")</f>
        <v>352</v>
      </c>
      <c r="F28" s="451">
        <f>IF(ISNUMBER(Datos!N28),Datos!N28," - ")</f>
        <v>636</v>
      </c>
      <c r="G28" s="452">
        <f t="shared" ref="G28:G30" si="10">IF(ISNUMBER(F28/B28),F28/B28," - ")</f>
        <v>212</v>
      </c>
      <c r="H28" s="451">
        <f>IF(ISNUMBER(Datos!O28),Datos!O28," - ")</f>
        <v>1648</v>
      </c>
      <c r="I28" s="452">
        <f t="shared" ref="I28:I30" si="11">IF(ISNUMBER(H28/B28),H28/B28," - ")</f>
        <v>549.33333333333337</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3</v>
      </c>
      <c r="C30" s="1148">
        <f>Datos!AR30</f>
        <v>3</v>
      </c>
      <c r="D30" s="1146">
        <f>SUBTOTAL(9,D28:D29)</f>
        <v>1056</v>
      </c>
      <c r="E30" s="1147">
        <f t="shared" si="9"/>
        <v>352</v>
      </c>
      <c r="F30" s="1146">
        <f>SUBTOTAL(9,F28:F29)</f>
        <v>636</v>
      </c>
      <c r="G30" s="1147">
        <f t="shared" si="10"/>
        <v>212</v>
      </c>
      <c r="H30" s="1146">
        <f>SUBTOTAL(9,H28:H29)</f>
        <v>1648</v>
      </c>
      <c r="I30" s="1147">
        <f t="shared" si="11"/>
        <v>549.33333333333337</v>
      </c>
    </row>
    <row r="31" spans="1:9" ht="14.25" thickTop="1" thickBot="1">
      <c r="A31" s="1083" t="str">
        <f>Datos!A31</f>
        <v>TOTAL JURISDICCIONES</v>
      </c>
      <c r="B31" s="1084">
        <f>Datos!AP31</f>
        <v>23</v>
      </c>
      <c r="C31" s="1084">
        <f>Datos!AR31</f>
        <v>23</v>
      </c>
      <c r="D31" s="1084">
        <f>SUBTOTAL(9,D8:D30)</f>
        <v>7488</v>
      </c>
      <c r="E31" s="1085">
        <f>IF(ISNUMBER(D31/B31),D31/B31," - ")</f>
        <v>325.56521739130437</v>
      </c>
      <c r="F31" s="1084">
        <f>SUBTOTAL(9,F8:F30)</f>
        <v>17174</v>
      </c>
      <c r="G31" s="1085">
        <f>IF(ISNUMBER(F31/B31),F31/B31," - ")</f>
        <v>746.695652173913</v>
      </c>
      <c r="H31" s="1084">
        <f>SUBTOTAL(9,H8:H30)</f>
        <v>8655</v>
      </c>
      <c r="I31" s="1085">
        <f>IF(ISNUMBER(H31/B31),H31/B31," - ")</f>
        <v>376.30434782608694</v>
      </c>
    </row>
    <row r="34" spans="1:1">
      <c r="A34" s="439" t="str">
        <f>Criterios!A4</f>
        <v>Fecha Informe: 14 abr. 2023</v>
      </c>
    </row>
    <row r="39" spans="1:1">
      <c r="A39" s="462"/>
    </row>
  </sheetData>
  <sheetProtection algorithmName="SHA-512" hashValue="WNUoQw/iT9HqDGZ/Gaxm+mMGMWxsY8JK5xN9BH9vU4pMQKYQJA0vcINqU89fRAahE5JsNXXW+Qml7slU+tbsLQ==" saltValue="JpWmpSCHtfGIV03+RuR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45</v>
      </c>
      <c r="B3" s="439" t="str">
        <f>Criterios!A10 &amp;"  "&amp;Criterios!B10</f>
        <v>Provincias  BARCELONA</v>
      </c>
    </row>
    <row r="4" spans="1:4" ht="13.5" thickBot="1">
      <c r="B4" s="439" t="str">
        <f>Criterios!A11 &amp;"  "&amp;Criterios!B11</f>
        <v>Resumenes por Partidos Judiciales  SABADELL</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3505</v>
      </c>
      <c r="C9" s="489">
        <f>IF(ISNUMBER(Datos!Q9),Datos!Q9," - ")</f>
        <v>2780</v>
      </c>
      <c r="D9" s="456">
        <f>IF(ISNUMBER(Datos!R9),Datos!R9," - ")</f>
        <v>16473</v>
      </c>
    </row>
    <row r="10" spans="1:4">
      <c r="A10" s="450" t="str">
        <f>Datos!A10</f>
        <v>Jdos. Violencia contra la mujer</v>
      </c>
      <c r="B10" s="488">
        <f>IF(ISNUMBER(Datos!P10),Datos!P10," - ")</f>
        <v>53</v>
      </c>
      <c r="C10" s="489">
        <f>IF(ISNUMBER(Datos!Q10),Datos!Q10," - ")</f>
        <v>39</v>
      </c>
      <c r="D10" s="456">
        <f>IF(ISNUMBER(Datos!R10),Datos!R10," - ")</f>
        <v>148</v>
      </c>
    </row>
    <row r="11" spans="1:4">
      <c r="A11" s="450" t="str">
        <f>Datos!A11</f>
        <v xml:space="preserve">Jdos. Familia                                   </v>
      </c>
      <c r="B11" s="488">
        <f>IF(ISNUMBER(Datos!P11),Datos!P11," - ")</f>
        <v>227</v>
      </c>
      <c r="C11" s="489">
        <f>IF(ISNUMBER(Datos!Q11),Datos!Q11," - ")</f>
        <v>558</v>
      </c>
      <c r="D11" s="456">
        <f>IF(ISNUMBER(Datos!R11),Datos!R11," - ")</f>
        <v>722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3785</v>
      </c>
      <c r="C14" s="1150">
        <f>SUBTOTAL(9,C9:C13)</f>
        <v>3377</v>
      </c>
      <c r="D14" s="1148">
        <f>SUBTOTAL(9,D9:D13)</f>
        <v>17343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439</v>
      </c>
      <c r="C16" s="489">
        <f>IF(ISNUMBER(Datos!Q16),Datos!Q16," - ")</f>
        <v>293</v>
      </c>
      <c r="D16" s="456">
        <f>IF(ISNUMBER(Datos!R16),Datos!R16," - ")</f>
        <v>597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11</v>
      </c>
      <c r="C18" s="489">
        <f>IF(ISNUMBER(Datos!Q18),Datos!Q18," - ")</f>
        <v>5</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2031</v>
      </c>
      <c r="C21" s="489">
        <f>IF(ISNUMBER(Datos!Q21),Datos!Q21," - ")</f>
        <v>2331</v>
      </c>
      <c r="D21" s="456">
        <f>IF(ISNUMBER(Datos!R21),Datos!R21," - ")</f>
        <v>4274</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2481</v>
      </c>
      <c r="C23" s="1150">
        <f>SUBTOTAL(9,C16:C22)</f>
        <v>2629</v>
      </c>
      <c r="D23" s="1148">
        <f>SUBTOTAL(9,D16:D22)</f>
        <v>4878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157</v>
      </c>
      <c r="C28" s="489">
        <f>IF(ISNUMBER(Datos!Q28),Datos!Q28," - ")</f>
        <v>177</v>
      </c>
      <c r="D28" s="456">
        <f>IF(ISNUMBER(Datos!R28),Datos!R28," - ")</f>
        <v>110</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157</v>
      </c>
      <c r="C30" s="1150">
        <f>SUBTOTAL(9,C28:C29)</f>
        <v>177</v>
      </c>
      <c r="D30" s="1148">
        <f>SUBTOTAL(9,D28:D29)</f>
        <v>110</v>
      </c>
    </row>
    <row r="31" spans="1:4" ht="16.5" customHeight="1" thickTop="1" thickBot="1">
      <c r="A31" s="1083" t="str">
        <f>Datos!A31</f>
        <v>TOTAL JURISDICCIONES</v>
      </c>
      <c r="B31" s="1088">
        <f>SUBTOTAL(9,B8:B30)</f>
        <v>6423</v>
      </c>
      <c r="C31" s="1089">
        <f>SUBTOTAL(9,C8:C30)</f>
        <v>6183</v>
      </c>
      <c r="D31" s="1090">
        <f>SUBTOTAL(9,D8:D30)</f>
        <v>22331</v>
      </c>
    </row>
    <row r="32" spans="1:4" ht="7.5" customHeight="1"/>
    <row r="33" spans="1:1" ht="6" customHeight="1"/>
    <row r="34" spans="1:1">
      <c r="A34" s="439" t="str">
        <f>Criterios!A4</f>
        <v>Fecha Informe: 14 abr. 2023</v>
      </c>
    </row>
    <row r="39" spans="1:1">
      <c r="A39" s="462"/>
    </row>
  </sheetData>
  <sheetProtection algorithmName="SHA-512" hashValue="kjjT8IgfdgKyxKfIlshl+fpEsL9N6oYXbeztTY3Lx7wrN+gLyAKaso1qR5LZz9u5rVzxSuxqGb4yypOxa5BqCA==" saltValue="RUfiI/2GNcBLKnFi8msL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159</v>
      </c>
      <c r="B3" s="439" t="str">
        <f>Criterios!A10 &amp;"  "&amp;Criterios!B10</f>
        <v>Provincias  BARCELONA</v>
      </c>
    </row>
    <row r="4" spans="1:11" ht="10.5" customHeight="1" thickBot="1">
      <c r="B4" s="439" t="str">
        <f>Criterios!A11 &amp;"  "&amp;Criterios!B11</f>
        <v>Resumenes por Partidos Judiciales  SABADELL</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7.8229626000326638E-2</v>
      </c>
      <c r="C9" s="515">
        <f>IF(ISNUMBER(
   IF(J_V="SI",(Datos!J9-Datos!T9)/Datos!T9,(Datos!J9+Datos!Z9-(Datos!T9+Datos!AH9))/(Datos!T9+Datos!AH9))
     ),IF(J_V="SI",(Datos!J9-Datos!T9)/Datos!T9,(Datos!J9+Datos!Z9-(Datos!T9+Datos!AH9))/(Datos!T9+Datos!AH9))," - ")</f>
        <v>0.23091992490408947</v>
      </c>
      <c r="D9" s="515">
        <f>IF(ISNUMBER(
   IF(J_V="SI",(Datos!K9-Datos!U9)/Datos!U9,(Datos!K9+Datos!AA9-(Datos!U9+Datos!AI9))/(Datos!U9+Datos!AI9))
     ),IF(J_V="SI",(Datos!K9-Datos!U9)/Datos!U9,(Datos!K9+Datos!AA9-(Datos!U9+Datos!AI9))/(Datos!U9+Datos!AI9))," - ")</f>
        <v>0.18225292242295429</v>
      </c>
      <c r="E9" s="515">
        <f>IF(ISNUMBER(
   IF(J_V="SI",(Datos!L9-Datos!V9)/Datos!V9,(Datos!L9+Datos!AB9-(Datos!V9+Datos!AJ9))/(Datos!V9+Datos!AJ9))
     ),IF(J_V="SI",(Datos!L9-Datos!V9)/Datos!V9,(Datos!L9+Datos!AB9-(Datos!V9+Datos!AJ9))/(Datos!V9+Datos!AJ9))," - ")</f>
        <v>0.13617085731596487</v>
      </c>
      <c r="F9" s="515">
        <f>IF(ISNUMBER((Datos!M9-Datos!W9)/Datos!W9),(Datos!M9-Datos!W9)/Datos!W9," - ")</f>
        <v>5.7748234316576649E-2</v>
      </c>
      <c r="G9" s="516">
        <f>IF(ISNUMBER((Datos!N9-Datos!X9)/Datos!X9),(Datos!N9-Datos!X9)/Datos!X9," - ")</f>
        <v>0.21930870083432658</v>
      </c>
      <c r="H9" s="514">
        <f>IF(ISNUMBER(((NºAsuntos!G9/NºAsuntos!E9)-Datos!BD9)/Datos!BD9),((NºAsuntos!G9/NºAsuntos!E9)-Datos!BD9)/Datos!BD9," - ")</f>
        <v>-3.9537098633712645E-2</v>
      </c>
      <c r="I9" s="515">
        <f>IF(ISNUMBER(((NºAsuntos!I9/NºAsuntos!G9)-Datos!BE9)/Datos!BE9),((NºAsuntos!I9/NºAsuntos!G9)-Datos!BE9)/Datos!BE9," - ")</f>
        <v>-3.8978178216338977E-2</v>
      </c>
      <c r="J9" s="521">
        <f>IF(ISNUMBER((('Resol  Asuntos'!D9/NºAsuntos!G9)-Datos!BF9)/Datos!BF9),(('Resol  Asuntos'!D9/NºAsuntos!G9)-Datos!BF9)/Datos!BF9," - ")</f>
        <v>-0.57220589876480377</v>
      </c>
      <c r="K9" s="522">
        <f>IF(ISNUMBER((((NºAsuntos!C9+NºAsuntos!E9)/NºAsuntos!G9)-Datos!BG9)/Datos!BG9),(((NºAsuntos!C9+NºAsuntos!E9)/NºAsuntos!G9)-Datos!BG9)/Datos!BG9," - ")</f>
        <v>-2.3398178084635991E-2</v>
      </c>
    </row>
    <row r="10" spans="1:11">
      <c r="A10" s="450" t="str">
        <f>Datos!A10</f>
        <v>Jdos. Violencia contra la mujer</v>
      </c>
      <c r="B10" s="514">
        <f>IF(ISNUMBER((Datos!I10-Datos!S10)/Datos!S10),(Datos!I10-Datos!S10)/Datos!S10," - ")</f>
        <v>6.25E-2</v>
      </c>
      <c r="C10" s="515">
        <f>IF(ISNUMBER((Datos!J10-Datos!T10)/Datos!T10),(Datos!J10-Datos!T10)/Datos!T10," - ")</f>
        <v>-1.9801980198019802E-2</v>
      </c>
      <c r="D10" s="515">
        <f>IF(ISNUMBER((Datos!K10-Datos!U10)/Datos!U10),(Datos!K10-Datos!U10)/Datos!U10," - ")</f>
        <v>3.5897435897435895E-2</v>
      </c>
      <c r="E10" s="515">
        <f>IF(ISNUMBER((Datos!L10-Datos!V10)/Datos!V10),(Datos!L10-Datos!V10)/Datos!V10," - ")</f>
        <v>-3.3613445378151259E-2</v>
      </c>
      <c r="F10" s="515">
        <f>IF(ISNUMBER((Datos!M10-Datos!W10)/Datos!W10),(Datos!M10-Datos!W10)/Datos!W10," - ")</f>
        <v>-0.11428571428571428</v>
      </c>
      <c r="G10" s="516">
        <f>IF(ISNUMBER((Datos!N10-Datos!X10)/Datos!X10),(Datos!N10-Datos!X10)/Datos!X10," - ")</f>
        <v>-0.11666666666666667</v>
      </c>
      <c r="H10" s="514">
        <f>IF(ISNUMBER(((NºAsuntos!G10/NºAsuntos!E10)-Datos!BD10)/Datos!BD10),((NºAsuntos!G10/NºAsuntos!E10)-Datos!BD10)/Datos!BD10," - ")</f>
        <v>5.6824656824656761E-2</v>
      </c>
      <c r="I10" s="515">
        <f>IF(ISNUMBER(((NºAsuntos!I10/NºAsuntos!G10)-Datos!BE10)/Datos!BE10),((NºAsuntos!I10/NºAsuntos!G10)-Datos!BE10)/Datos!BE10," - ")</f>
        <v>-6.7102088360096679E-2</v>
      </c>
      <c r="J10" s="521">
        <f>IF(ISNUMBER((('Resol  Asuntos'!D10/NºAsuntos!G10)-Datos!BF10)/Datos!BF10),(('Resol  Asuntos'!D10/NºAsuntos!G10)-Datos!BF10)/Datos!BF10," - ")</f>
        <v>-0.14497878359264499</v>
      </c>
      <c r="K10" s="522">
        <f>IF(ISNUMBER((((NºAsuntos!C10+NºAsuntos!E10)/NºAsuntos!G10)-Datos!BG10)/Datos!BG10),(((NºAsuntos!C10+NºAsuntos!E10)/NºAsuntos!G10)-Datos!BG10)/Datos!BG10," - ")</f>
        <v>-2.5430409282966505E-2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-0.13633014001473839</v>
      </c>
      <c r="C11" s="515">
        <f>IF(ISNUMBER(
   IF(J_V="SI",(Datos!J11-Datos!T11)/Datos!T11,(Datos!J11+Datos!Z11-(Datos!T11+Datos!AH11))/(Datos!T11+Datos!AH11))
     ),IF(J_V="SI",(Datos!J11-Datos!T11)/Datos!T11,(Datos!J11+Datos!Z11-(Datos!T11+Datos!AH11))/(Datos!T11+Datos!AH11))," - ")</f>
        <v>4.1441441441441441E-2</v>
      </c>
      <c r="D11" s="515">
        <f>IF(ISNUMBER(
   IF(J_V="SI",(Datos!K11-Datos!U11)/Datos!U11,(Datos!K11+Datos!AA11-(Datos!U11+Datos!AI11))/(Datos!U11+Datos!AI11))
     ),IF(J_V="SI",(Datos!K11-Datos!U11)/Datos!U11,(Datos!K11+Datos!AA11-(Datos!U11+Datos!AI11))/(Datos!U11+Datos!AI11))," - ")</f>
        <v>8.3333333333333332E-3</v>
      </c>
      <c r="E11" s="515">
        <f>IF(ISNUMBER(
   IF(J_V="SI",(Datos!L11-Datos!V11)/Datos!V11,(Datos!L11+Datos!AB11-(Datos!V11+Datos!AJ11))/(Datos!V11+Datos!AJ11))
     ),IF(J_V="SI",(Datos!L11-Datos!V11)/Datos!V11,(Datos!L11+Datos!AB11-(Datos!V11+Datos!AJ11))/(Datos!V11+Datos!AJ11))," - ")</f>
        <v>-6.5699658703071678E-2</v>
      </c>
      <c r="F11" s="515">
        <f>IF(ISNUMBER((Datos!M11-Datos!W11)/Datos!W11),(Datos!M11-Datos!W11)/Datos!W11," - ")</f>
        <v>-0.1318359375</v>
      </c>
      <c r="G11" s="516">
        <f>IF(ISNUMBER((Datos!N11-Datos!X11)/Datos!X11),(Datos!N11-Datos!X11)/Datos!X11," - ")</f>
        <v>0.11950207468879669</v>
      </c>
      <c r="H11" s="514">
        <f>IF(ISNUMBER(((NºAsuntos!G11/NºAsuntos!E11)-Datos!BD11)/Datos!BD11),((NºAsuntos!G11/NºAsuntos!E11)-Datos!BD11)/Datos!BD11," - ")</f>
        <v>-3.1790657439446347E-2</v>
      </c>
      <c r="I11" s="515">
        <f>IF(ISNUMBER(((NºAsuntos!I11/NºAsuntos!G11)-Datos!BE11)/Datos!BE11),((NºAsuntos!I11/NºAsuntos!G11)-Datos!BE11)/Datos!BE11," - ")</f>
        <v>-7.3421149127013238E-2</v>
      </c>
      <c r="J11" s="521">
        <f>IF(ISNUMBER((('Resol  Asuntos'!D11/NºAsuntos!G11)-Datos!BF11)/Datos!BF11),(('Resol  Asuntos'!D11/NºAsuntos!G11)-Datos!BF11)/Datos!BF11," - ")</f>
        <v>-0.26833784849627923</v>
      </c>
      <c r="K11" s="522">
        <f>IF(ISNUMBER((((NºAsuntos!C11+NºAsuntos!E11)/NºAsuntos!G11)-Datos!BG11)/Datos!BG11),(((NºAsuntos!C11+NºAsuntos!E11)/NºAsuntos!G11)-Datos!BG11)/Datos!BG11," - ")</f>
        <v>-2.5065403662605148E-2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5.6872037914691941E-2</v>
      </c>
      <c r="C14" s="1152">
        <f>IF(ISNUMBER(
   IF(J_V="SI",(Datos!J14-Datos!T14)/Datos!T14,(Datos!J14+Datos!Z14-(Datos!T14+Datos!AH14))/(Datos!T14+Datos!AH14))
     ),IF(J_V="SI",(Datos!J14-Datos!T14)/Datos!T14,(Datos!J14+Datos!Z14-(Datos!T14+Datos!AH14))/(Datos!T14+Datos!AH14))," - ")</f>
        <v>0.19306540583136328</v>
      </c>
      <c r="D14" s="1152">
        <f>IF(ISNUMBER(
   IF(J_V="SI",(Datos!K14-Datos!U14)/Datos!U14,(Datos!K14+Datos!AA14-(Datos!U14+Datos!AI14))/(Datos!U14+Datos!AI14))
     ),IF(J_V="SI",(Datos!K14-Datos!U14)/Datos!U14,(Datos!K14+Datos!AA14-(Datos!U14+Datos!AI14))/(Datos!U14+Datos!AI14))," - ")</f>
        <v>0.14540265887102388</v>
      </c>
      <c r="E14" s="1152">
        <f>IF(ISNUMBER(
   IF(J_V="SI",(Datos!L14-Datos!V14)/Datos!V14,(Datos!L14+Datos!AB14-(Datos!V14+Datos!AJ14))/(Datos!V14+Datos!AJ14))
     ),IF(J_V="SI",(Datos!L14-Datos!V14)/Datos!V14,(Datos!L14+Datos!AB14-(Datos!V14+Datos!AJ14))/(Datos!V14+Datos!AJ14))," - ")</f>
        <v>0.11845463953087272</v>
      </c>
      <c r="F14" s="1153">
        <f>IF(ISNUMBER((Datos!M14-Datos!W14)/Datos!W14),(Datos!M14-Datos!W14)/Datos!W14," - ")</f>
        <v>-1.1425307055127106E-3</v>
      </c>
      <c r="G14" s="1154">
        <f>IF(ISNUMBER((Datos!N14-Datos!X14)/Datos!X14),(Datos!N14-Datos!X14)/Datos!X14," - ")</f>
        <v>0.19701539926972536</v>
      </c>
      <c r="H14" s="1154">
        <f>IF(ISNUMBER(((NºAsuntos!G14/NºAsuntos!E14)-Datos!BD14)/Datos!BD14),((NºAsuntos!G14/NºAsuntos!E14)-Datos!BD14)/Datos!BD14," - ")</f>
        <v>-3.9949818951565859E-2</v>
      </c>
      <c r="I14" s="1154">
        <f>IF(ISNUMBER(((NºAsuntos!I14/NºAsuntos!G14)-Datos!BE14)/Datos!BE14),((NºAsuntos!I14/NºAsuntos!G14)-Datos!BE14)/Datos!BE14," - ")</f>
        <v>-2.3527114357070583E-2</v>
      </c>
      <c r="J14" s="1154">
        <f>IF(ISNUMBER((('Resol  Asuntos'!D14/NºAsuntos!G14)-Datos!BF14)/Datos!BF14),(('Resol  Asuntos'!D14/NºAsuntos!G14)-Datos!BF14)/Datos!BF14," - ")</f>
        <v>-0.51607627111395604</v>
      </c>
      <c r="K14" s="1154">
        <f>IF(ISNUMBER((((NºAsuntos!C14+NºAsuntos!E14)/NºAsuntos!G14)-Datos!BG14)/Datos!BG14),(((NºAsuntos!C14+NºAsuntos!E14)/NºAsuntos!G14)-Datos!BG14)/Datos!BG14," - ")</f>
        <v>-1.4732087195809389E-2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0.12072675113554865</v>
      </c>
      <c r="C16" s="515">
        <f>IF(ISNUMBER(
   IF(D_I="SI",(Datos!J16-Datos!T16)/Datos!T16,(Datos!J16+Datos!AD16-(Datos!T16+Datos!AL16))/(Datos!T16+Datos!AL16))
     ),IF(D_I="SI",(Datos!J16-Datos!T16)/Datos!T16,(Datos!J16+Datos!AD16-(Datos!T16+Datos!AL16))/(Datos!T16+Datos!AL16))," - ")</f>
        <v>0.11534173741531602</v>
      </c>
      <c r="D16" s="515">
        <f>IF(ISNUMBER(
   IF(D_I="SI",(Datos!K16-Datos!U16)/Datos!U16,(Datos!K16+Datos!AE16-(Datos!U16+Datos!AM16))/(Datos!U16+Datos!AM16))
     ),IF(D_I="SI",(Datos!K16-Datos!U16)/Datos!U16,(Datos!K16+Datos!AE16-(Datos!U16+Datos!AM16))/(Datos!U16+Datos!AM16))," - ")</f>
        <v>6.8818351560416116E-2</v>
      </c>
      <c r="E16" s="515">
        <f>IF(ISNUMBER(
   IF(D_I="SI",(Datos!L16-Datos!V16)/Datos!V16,(Datos!L16+Datos!AF16-(Datos!V16+Datos!AN16))/(Datos!V16+Datos!AN16))
     ),IF(D_I="SI",(Datos!L16-Datos!V16)/Datos!V16,(Datos!L16+Datos!AF16-(Datos!V16+Datos!AN16))/(Datos!V16+Datos!AN16))," - ")</f>
        <v>0.2344283276450512</v>
      </c>
      <c r="F16" s="515">
        <f>IF(ISNUMBER((Datos!M16-Datos!W16)/Datos!W16),(Datos!M16-Datos!W16)/Datos!W16," - ")</f>
        <v>0.15400134498991258</v>
      </c>
      <c r="G16" s="516">
        <f>IF(ISNUMBER((Datos!N16-Datos!X16)/Datos!X16),(Datos!N16-Datos!X16)/Datos!X16," - ")</f>
        <v>9.843081312410842E-3</v>
      </c>
      <c r="H16" s="514">
        <f>IF(ISNUMBER(((NºAsuntos!G16/NºAsuntos!E16)-Datos!BD16)/Datos!BD16),((NºAsuntos!G16/NºAsuntos!E16)-Datos!BD16)/Datos!BD16," - ")</f>
        <v>-4.1712225315545762E-2</v>
      </c>
      <c r="I16" s="515">
        <f>IF(ISNUMBER(((NºAsuntos!I16/NºAsuntos!G16)-Datos!BE16)/Datos!BE16),((NºAsuntos!I16/NºAsuntos!G16)-Datos!BE16)/Datos!BE16," - ")</f>
        <v>0.15494679319722904</v>
      </c>
      <c r="J16" s="521">
        <f>IF(ISNUMBER((('Resol  Asuntos'!D16/NºAsuntos!G16)-Datos!BF16)/Datos!BF16),(('Resol  Asuntos'!D16/NºAsuntos!G16)-Datos!BF16)/Datos!BF16," - ")</f>
        <v>7.9698288586768737E-2</v>
      </c>
      <c r="K16" s="522">
        <f>IF(ISNUMBER((((NºAsuntos!C16+NºAsuntos!E16)/NºAsuntos!G16)-Datos!BG16)/Datos!BG16),(((NºAsuntos!C16+NºAsuntos!E16)/NºAsuntos!G16)-Datos!BG16)/Datos!BG16," - ")</f>
        <v>4.4858035927659322E-2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-0.38055555555555554</v>
      </c>
      <c r="C18" s="515">
        <f>IF(ISNUMBER(
   IF(D_I="SI",(Datos!J18-Datos!T18)/Datos!T18,(Datos!J18+Datos!AD18-(Datos!T18+Datos!AL18))/(Datos!T18+Datos!AL18))
     ),IF(D_I="SI",(Datos!J18-Datos!T18)/Datos!T18,(Datos!J18+Datos!AD18-(Datos!T18+Datos!AL18))/(Datos!T18+Datos!AL18))," - ")</f>
        <v>0.1170313986679353</v>
      </c>
      <c r="D18" s="515">
        <f>IF(ISNUMBER(
   IF(D_I="SI",(Datos!K18-Datos!U18)/Datos!U18,(Datos!K18+Datos!AE18-(Datos!U18+Datos!AM18))/(Datos!U18+Datos!AM18))
     ),IF(D_I="SI",(Datos!K18-Datos!U18)/Datos!U18,(Datos!K18+Datos!AE18-(Datos!U18+Datos!AM18))/(Datos!U18+Datos!AM18))," - ")</f>
        <v>-9.2514718250630776E-3</v>
      </c>
      <c r="E18" s="515">
        <f>IF(ISNUMBER(
   IF(D_I="SI",(Datos!L18-Datos!V18)/Datos!V18,(Datos!L18+Datos!AF18-(Datos!V18+Datos!AN18))/(Datos!V18+Datos!AN18))
     ),IF(D_I="SI",(Datos!L18-Datos!V18)/Datos!V18,(Datos!L18+Datos!AF18-(Datos!V18+Datos!AN18))/(Datos!V18+Datos!AN18))," - ")</f>
        <v>-1.7937219730941704E-2</v>
      </c>
      <c r="F18" s="515">
        <f>IF(ISNUMBER((Datos!M18-Datos!W18)/Datos!W18),(Datos!M18-Datos!W18)/Datos!W18," - ")</f>
        <v>7.2463768115942032E-2</v>
      </c>
      <c r="G18" s="516">
        <f>IF(ISNUMBER((Datos!N18-Datos!X18)/Datos!X18),(Datos!N18-Datos!X18)/Datos!X18," - ")</f>
        <v>-3.5433070866141732E-2</v>
      </c>
      <c r="H18" s="514">
        <f>IF(ISNUMBER(((NºAsuntos!G18/NºAsuntos!E18)-Datos!BD18)/Datos!BD18),((NºAsuntos!G18/NºAsuntos!E18)-Datos!BD18)/Datos!BD18," - ")</f>
        <v>-0.11305221200012035</v>
      </c>
      <c r="I18" s="515">
        <f>IF(ISNUMBER(((NºAsuntos!I18/NºAsuntos!G18)-Datos!BE18)/Datos!BE18),((NºAsuntos!I18/NºAsuntos!G18)-Datos!BE18)/Datos!BE18," - ")</f>
        <v>-8.766854210602415E-3</v>
      </c>
      <c r="J18" s="521">
        <f>IF(ISNUMBER((('Resol  Asuntos'!D18/NºAsuntos!G18)-Datos!BF18)/Datos!BF18),(('Resol  Asuntos'!D18/NºAsuntos!G18)-Datos!BF18)/Datos!BF18," - ")</f>
        <v>8.2478285475258886E-2</v>
      </c>
      <c r="K18" s="522">
        <f>IF(ISNUMBER((((NºAsuntos!C18+NºAsuntos!E18)/NºAsuntos!G18)-Datos!BG18)/Datos!BG18),(((NºAsuntos!C18+NºAsuntos!E18)/NºAsuntos!G18)-Datos!BG18)/Datos!BG18," - ")</f>
        <v>-6.7683096312148947E-4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0.18573264781491003</v>
      </c>
      <c r="C21" s="515">
        <f>IF(ISNUMBER((Datos!J21-Datos!T21)/Datos!T21),(Datos!J21-Datos!T21)/Datos!T21," - ")</f>
        <v>8.60832137733142E-3</v>
      </c>
      <c r="D21" s="515">
        <f>IF(ISNUMBER((Datos!K21-Datos!U21)/Datos!U21),(Datos!K21-Datos!U21)/Datos!U21," - ")</f>
        <v>-6.3920454545454544E-2</v>
      </c>
      <c r="E21" s="515">
        <f>IF(ISNUMBER((Datos!L21-Datos!V21)/Datos!V21),(Datos!L21-Datos!V21)/Datos!V21," - ")</f>
        <v>4.6070460704607047E-2</v>
      </c>
      <c r="F21" s="515">
        <f>IF(ISNUMBER((Datos!M21-Datos!W21)/Datos!W21),(Datos!M21-Datos!W21)/Datos!W21," - ")</f>
        <v>-9.1269841269841265E-2</v>
      </c>
      <c r="G21" s="516">
        <f>IF(ISNUMBER((Datos!N21-Datos!X21)/Datos!X21),(Datos!N21-Datos!X21)/Datos!X21," - ")</f>
        <v>-0.20122973728339855</v>
      </c>
      <c r="H21" s="514">
        <f>IF(ISNUMBER(((NºAsuntos!G21/NºAsuntos!E21)-Datos!BD21)/Datos!BD21),((NºAsuntos!G21/NºAsuntos!E21)-Datos!BD21)/Datos!BD21," - ")</f>
        <v>-7.1909753653174716E-2</v>
      </c>
      <c r="I21" s="515">
        <f>IF(ISNUMBER(((NºAsuntos!I21/NºAsuntos!G21)-Datos!BE21)/Datos!BE21),((NºAsuntos!I21/NºAsuntos!G21)-Datos!BE21)/Datos!BE21," - ")</f>
        <v>0.11750167577548309</v>
      </c>
      <c r="J21" s="521">
        <f>IF(ISNUMBER((('Resol  Asuntos'!D21/NºAsuntos!G21)-Datos!BF21)/Datos!BF21),(('Resol  Asuntos'!D21/NºAsuntos!G21)-Datos!BF21)/Datos!BF21," - ")</f>
        <v>-2.9216947274610373E-2</v>
      </c>
      <c r="K21" s="522">
        <f>IF(ISNUMBER((((NºAsuntos!C21+NºAsuntos!E21)/NºAsuntos!G21)-Datos!BG21)/Datos!BG21),(((NºAsuntos!C21+NºAsuntos!E21)/NºAsuntos!G21)-Datos!BG21)/Datos!BG21," - ")</f>
        <v>0.17728659242303438</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0.10772257747171668</v>
      </c>
      <c r="C23" s="1152">
        <f>IF(ISNUMBER(
   IF(Criterios!B14="SI",(Datos!J23-Datos!T23)/Datos!T23,(Datos!J23+Datos!AD23-(Datos!T23+Datos!AL23))/(Datos!T23+Datos!AL23))
     ),IF(Criterios!B14="SI",(Datos!J23-Datos!T23)/Datos!T23,(Datos!J23+Datos!AD23-(Datos!T23+Datos!AL23))/(Datos!T23+Datos!AL23))," - ")</f>
        <v>0.10491989224443499</v>
      </c>
      <c r="D23" s="1152">
        <f>IF(ISNUMBER(
   IF(Criterios!B14="SI",(Datos!K23-Datos!U23)/Datos!U23,(Datos!K23+Datos!AE23-(Datos!U23+Datos!AM23))/(Datos!U23+Datos!AM23))
     ),IF(Criterios!B14="SI",(Datos!K23-Datos!U23)/Datos!U23,(Datos!K23+Datos!AE23-(Datos!U23+Datos!AM23))/(Datos!U23+Datos!AM23))," - ")</f>
        <v>4.8613117596070503E-2</v>
      </c>
      <c r="E23" s="1152">
        <f>IF(ISNUMBER(
   IF(Criterios!B14="SI",(Datos!L23-Datos!V23)/Datos!V23,(Datos!L23+Datos!AF23-(Datos!V23+Datos!AN23))/(Datos!V23+Datos!AN23))
     ),IF(Criterios!B14="SI",(Datos!L23-Datos!V23)/Datos!V23,(Datos!L23+Datos!AF23-(Datos!V23+Datos!AN23))/(Datos!V23+Datos!AN23))," - ")</f>
        <v>0.17465956187092954</v>
      </c>
      <c r="F23" s="1153">
        <f>IF(ISNUMBER((Datos!M23-Datos!W23)/Datos!W23),(Datos!M23-Datos!W23)/Datos!W23," - ")</f>
        <v>4.2258522727272728E-2</v>
      </c>
      <c r="G23" s="1154">
        <f>IF(ISNUMBER((Datos!N23-Datos!X23)/Datos!X23),(Datos!N23-Datos!X23)/Datos!X23," - ")</f>
        <v>-3.3200816589663694E-2</v>
      </c>
      <c r="H23" s="1154">
        <f>IF(ISNUMBER(((NºAsuntos!G23/NºAsuntos!E23)-Datos!BD23)/Datos!BD23),((NºAsuntos!G23/NºAsuntos!E23)-Datos!BD23)/Datos!BD23," - ")</f>
        <v>-5.0960051532774837E-2</v>
      </c>
      <c r="I23" s="1154">
        <f>IF(ISNUMBER(((NºAsuntos!I23/NºAsuntos!G23)-Datos!BE23)/Datos!BE23),((NºAsuntos!I23/NºAsuntos!G23)-Datos!BE23)/Datos!BE23," - ")</f>
        <v>0.12020300162162638</v>
      </c>
      <c r="J23" s="1154">
        <f>IF(ISNUMBER((('Resol  Asuntos'!D23/NºAsuntos!G23)-Datos!BF23)/Datos!BF23),(('Resol  Asuntos'!D23/NºAsuntos!G23)-Datos!BF23)/Datos!BF23," - ")</f>
        <v>-6.059999405086244E-3</v>
      </c>
      <c r="K23" s="1154">
        <f>IF(ISNUMBER((((NºAsuntos!C23+NºAsuntos!E23)/NºAsuntos!G23)-Datos!BG23)/Datos!BG23),(((NºAsuntos!C23+NºAsuntos!E23)/NºAsuntos!G23)-Datos!BG23)/Datos!BG23," - ")</f>
        <v>5.450321093137836E-2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-8.5413929040735869E-3</v>
      </c>
      <c r="C28" s="515">
        <f>IF(ISNUMBER((Datos!J28-Datos!T28)/Datos!T28),(Datos!J28-Datos!T28)/Datos!T28," - ")</f>
        <v>-1.4388489208633094E-3</v>
      </c>
      <c r="D28" s="515">
        <f>IF(ISNUMBER((Datos!K28-Datos!U28)/Datos!U28),(Datos!K28-Datos!U28)/Datos!U28," - ")</f>
        <v>0.16864864864864865</v>
      </c>
      <c r="E28" s="515">
        <f>IF(ISNUMBER((Datos!L28-Datos!V28)/Datos!V28),(Datos!L28-Datos!V28)/Datos!V28," - ")</f>
        <v>-0.1633532140490391</v>
      </c>
      <c r="F28" s="515">
        <f>IF(ISNUMBER((Datos!M28-Datos!W28)/Datos!W28),(Datos!M28-Datos!W28)/Datos!W28," - ")</f>
        <v>0.28311057108140947</v>
      </c>
      <c r="G28" s="516">
        <f>IF(ISNUMBER((Datos!N28-Datos!X28)/Datos!X28),(Datos!N28-Datos!X28)/Datos!X28," - ")</f>
        <v>0.27967806841046278</v>
      </c>
      <c r="H28" s="514">
        <f>IF(ISNUMBER(((NºAsuntos!G28/NºAsuntos!E28)-Datos!BD28)/Datos!BD28),((NºAsuntos!G28/NºAsuntos!E28)-Datos!BD28)/Datos!BD28," - ")</f>
        <v>0.17033258041903582</v>
      </c>
      <c r="I28" s="515">
        <f>IF(ISNUMBER(((NºAsuntos!I28/NºAsuntos!G28)-Datos!BE28)/Datos!BE28),((NºAsuntos!I28/NºAsuntos!G28)-Datos!BE28)/Datos!BE28," - ")</f>
        <v>-0.28409040055075035</v>
      </c>
      <c r="J28" s="521">
        <f>IF(ISNUMBER((('Resol  Asuntos'!D28/NºAsuntos!G28)-Datos!BF28)/Datos!BF28),(('Resol  Asuntos'!D28/NºAsuntos!G28)-Datos!BF28)/Datos!BF28," - ")</f>
        <v>9.7943828168643526E-2</v>
      </c>
      <c r="K28" s="522">
        <f>IF(ISNUMBER((((NºAsuntos!C28+NºAsuntos!E28)/NºAsuntos!G28)-Datos!BG28)/Datos!BG28),(((NºAsuntos!C28+NºAsuntos!E28)/NºAsuntos!G28)-Datos!BG28)/Datos!BG28," - ")</f>
        <v>-0.14871856288946939</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-8.5413929040735869E-3</v>
      </c>
      <c r="C30" s="1152">
        <f>IF(ISNUMBER((Datos!J30-Datos!T30)/Datos!T30),(Datos!J30-Datos!T30)/Datos!T30," - ")</f>
        <v>-1.4388489208633094E-3</v>
      </c>
      <c r="D30" s="1152">
        <f>IF(ISNUMBER((Datos!K30-Datos!U30)/Datos!U30),(Datos!K30-Datos!U30)/Datos!U30," - ")</f>
        <v>0.16864864864864865</v>
      </c>
      <c r="E30" s="1152">
        <f>IF(ISNUMBER((Datos!L30-Datos!V30)/Datos!V30),(Datos!L30-Datos!V30)/Datos!V30," - ")</f>
        <v>-0.1633532140490391</v>
      </c>
      <c r="F30" s="1153">
        <f>IF(ISNUMBER((Datos!M30-Datos!W30)/Datos!W30),(Datos!M30-Datos!W30)/Datos!W30," - ")</f>
        <v>0.28311057108140947</v>
      </c>
      <c r="G30" s="1154">
        <f>IF(ISNUMBER((Datos!N30-Datos!X30)/Datos!X30),(Datos!N30-Datos!X30)/Datos!X30," - ")</f>
        <v>0.27967806841046278</v>
      </c>
      <c r="H30" s="1154">
        <f>IF(ISNUMBER(((NºAsuntos!G30/NºAsuntos!E30)-Datos!BD30)/Datos!BD30),((NºAsuntos!G30/NºAsuntos!E30)-Datos!BD30)/Datos!BD30," - ")</f>
        <v>0.17033258041903582</v>
      </c>
      <c r="I30" s="1154">
        <f>IF(ISNUMBER(((NºAsuntos!I30/NºAsuntos!G30)-Datos!BE30)/Datos!BE30),((NºAsuntos!I30/NºAsuntos!G30)-Datos!BE30)/Datos!BE30," - ")</f>
        <v>-0.28409040055075035</v>
      </c>
      <c r="J30" s="1154">
        <f>IF(ISNUMBER((('Resol  Asuntos'!D30/NºAsuntos!G30)-Datos!BF30)/Datos!BF30),(('Resol  Asuntos'!D30/NºAsuntos!G30)-Datos!BF30)/Datos!BF30," - ")</f>
        <v>9.7943828168643526E-2</v>
      </c>
      <c r="K30" s="1154">
        <f>IF(ISNUMBER((((NºAsuntos!C30+NºAsuntos!E30)/NºAsuntos!G30)-Datos!BG30)/Datos!BG30),(((NºAsuntos!C30+NºAsuntos!E30)/NºAsuntos!G30)-Datos!BG30)/Datos!BG30," - ")</f>
        <v>-0.14871856288946939</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6.1728935164931317E-2</v>
      </c>
      <c r="C31" s="1092">
        <f>IF(ISNUMBER(
   IF(J_V="SI",(Datos!J31-Datos!T31)/Datos!T31,(Datos!J31+Datos!Z31-(Datos!T31+Datos!AH31))/(Datos!T31+Datos!AH31))
     ),IF(J_V="SI",(Datos!J31-Datos!T31)/Datos!T31,(Datos!J31+Datos!Z31-(Datos!T31+Datos!AH31))/(Datos!T31+Datos!AH31))," - ")</f>
        <v>0.1375101201967989</v>
      </c>
      <c r="D31" s="1092">
        <f>IF(ISNUMBER(
   IF(J_V="SI",(Datos!K31-Datos!U31)/Datos!U31,(Datos!K31+Datos!AA31-(Datos!U31+Datos!AI31))/(Datos!U31+Datos!AI31))
     ),IF(J_V="SI",(Datos!K31-Datos!U31)/Datos!U31,(Datos!K31+Datos!AA31-(Datos!U31+Datos!AI31))/(Datos!U31+Datos!AI31))," - ")</f>
        <v>0.104240624798296</v>
      </c>
      <c r="E31" s="1092">
        <f>IF(ISNUMBER(
   IF(J_V="SI",(Datos!L31-Datos!V31)/Datos!V31,(Datos!L31+Datos!AB31-(Datos!V31+Datos!AJ31))/(Datos!V31+Datos!AJ31))
     ),IF(J_V="SI",(Datos!L31-Datos!V31)/Datos!V31,(Datos!L31+Datos!AB31-(Datos!V31+Datos!AJ31))/(Datos!V31+Datos!AJ31))," - ")</f>
        <v>9.9056409411182988E-2</v>
      </c>
      <c r="F31" s="1093">
        <f>IF(ISNUMBER((Datos!M31-Datos!W31)/Datos!W31),(Datos!M31-Datos!W31)/Datos!W31," - ")</f>
        <v>4.8739495798319328E-2</v>
      </c>
      <c r="G31" s="1094">
        <f>IF(ISNUMBER((Datos!N31-Datos!X31)/Datos!X31),(Datos!N31-Datos!X31)/Datos!X31," - ")</f>
        <v>6.6509346084580506E-2</v>
      </c>
      <c r="H31" s="1095">
        <f>IF(ISNUMBER((Tasas!B31-Datos!BD31)/Datos!BD31),(Tasas!B31-Datos!BD31)/Datos!BD31," - ")</f>
        <v>-2.9247647829934872E-2</v>
      </c>
      <c r="I31" s="1096">
        <f>IF(ISNUMBER((Tasas!C31-Datos!BE31)/Datos!BE31),(Tasas!C31-Datos!BE31)/Datos!BE31," - ")</f>
        <v>-4.694824000031704E-3</v>
      </c>
      <c r="J31" s="1097">
        <f>IF(ISNUMBER((Tasas!D31-Datos!BF31)/Datos!BF31),(Tasas!D31-Datos!BF31)/Datos!BF31," - ")</f>
        <v>-0.31834231010372477</v>
      </c>
      <c r="K31" s="1097">
        <f>IF(ISNUMBER((Tasas!E31-Datos!BG31)/Datos!BG31),(Tasas!E31-Datos!BG31)/Datos!BG31," - ")</f>
        <v>1.5927625262784012E-3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97gtLYbWwdwxK6Uz5N23lQppvfR15TGmyUvWuRHISVLBYfG0Dozl9XzP/AFXqJHFIyFxlHiLIvwu9/vBZajTA==" saltValue="UIVJA4LgTgM4P6IdjMGW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SABADELL</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0.88527851458885942</v>
      </c>
      <c r="C9" s="498">
        <f>IF(ISNUMBER(NºAsuntos!I9/NºAsuntos!G9),NºAsuntos!I9/NºAsuntos!G9," - ")</f>
        <v>1.1237453183520598</v>
      </c>
      <c r="D9" s="499">
        <f>IF(ISNUMBER('Resol  Asuntos'!D9/NºAsuntos!G9),'Resol  Asuntos'!D9/NºAsuntos!G9," - ")</f>
        <v>0.19071161048689139</v>
      </c>
      <c r="E9" s="500">
        <f>IF(ISNUMBER((NºAsuntos!C9+NºAsuntos!E9)/NºAsuntos!G9),(NºAsuntos!C9+NºAsuntos!E9)/NºAsuntos!G9," - ")</f>
        <v>2.1186516853932584</v>
      </c>
      <c r="G9" s="523"/>
    </row>
    <row r="10" spans="1:7">
      <c r="A10" s="450" t="str">
        <f>Datos!A10</f>
        <v>Jdos. Violencia contra la mujer</v>
      </c>
      <c r="B10" s="497">
        <f>IF(ISNUMBER(NºAsuntos!G10/NºAsuntos!E10),NºAsuntos!G10/NºAsuntos!E10," - ")</f>
        <v>1.0202020202020201</v>
      </c>
      <c r="C10" s="498">
        <f>IF(ISNUMBER(NºAsuntos!I10/NºAsuntos!G10),NºAsuntos!I10/NºAsuntos!G10," - ")</f>
        <v>0.56930693069306926</v>
      </c>
      <c r="D10" s="499">
        <f>IF(ISNUMBER('Resol  Asuntos'!D10/NºAsuntos!G10),'Resol  Asuntos'!D10/NºAsuntos!G10," - ")</f>
        <v>0.30693069306930693</v>
      </c>
      <c r="E10" s="500">
        <f>IF(ISNUMBER((NºAsuntos!C10+NºAsuntos!E10)/NºAsuntos!G10),(NºAsuntos!C10+NºAsuntos!E10)/NºAsuntos!G10," - ")</f>
        <v>1.5693069306930694</v>
      </c>
      <c r="G10" s="523"/>
    </row>
    <row r="11" spans="1:7">
      <c r="A11" s="450" t="str">
        <f>Datos!A11</f>
        <v xml:space="preserve">Jdos. Familia                                   </v>
      </c>
      <c r="B11" s="497">
        <f>IF(ISNUMBER(NºAsuntos!G11/NºAsuntos!E11),NºAsuntos!G11/NºAsuntos!E11," - ")</f>
        <v>1.0048442906574395</v>
      </c>
      <c r="C11" s="498">
        <f>IF(ISNUMBER(NºAsuntos!I11/NºAsuntos!G11),NºAsuntos!I11/NºAsuntos!G11," - ")</f>
        <v>0.37706611570247933</v>
      </c>
      <c r="D11" s="499">
        <f>IF(ISNUMBER('Resol  Asuntos'!D11/NºAsuntos!G11),'Resol  Asuntos'!D11/NºAsuntos!G11," - ")</f>
        <v>0.30612947658402206</v>
      </c>
      <c r="E11" s="500">
        <f>IF(ISNUMBER((NºAsuntos!C11+NºAsuntos!E11)/NºAsuntos!G11),(NºAsuntos!C11+NºAsuntos!E11)/NºAsuntos!G11," - ")</f>
        <v>1.3987603305785123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0.90576838397181858</v>
      </c>
      <c r="C14" s="1156">
        <f>IF(ISNUMBER(NºAsuntos!I14/NºAsuntos!G14),NºAsuntos!I14/NºAsuntos!G14," - ")</f>
        <v>0.98517258142926589</v>
      </c>
      <c r="D14" s="1157">
        <f>IF(ISNUMBER('Resol  Asuntos'!D14/NºAsuntos!G14),'Resol  Asuntos'!D14/NºAsuntos!G14," - ")</f>
        <v>0.21250607681088965</v>
      </c>
      <c r="E14" s="1158">
        <f>IF(ISNUMBER((NºAsuntos!C14+NºAsuntos!E14)/NºAsuntos!G14),(NºAsuntos!C14+NºAsuntos!E14)/NºAsuntos!G14," - ")</f>
        <v>1.9848687408847836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0.92426572351222513</v>
      </c>
      <c r="C16" s="498">
        <f>IF(ISNUMBER(NºAsuntos!I16/NºAsuntos!G16),NºAsuntos!I16/NºAsuntos!G16," - ")</f>
        <v>0.48140753681058146</v>
      </c>
      <c r="D16" s="499">
        <f>IF(ISNUMBER('Resol  Asuntos'!D16/NºAsuntos!G16),'Resol  Asuntos'!D16/NºAsuntos!G16," - ")</f>
        <v>0.14275018717244822</v>
      </c>
      <c r="E16" s="500">
        <f>IF(ISNUMBER((NºAsuntos!C16+NºAsuntos!E16)/NºAsuntos!G16),(NºAsuntos!C16+NºAsuntos!E16)/NºAsuntos!G16," - ")</f>
        <v>1.4719241327676567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1.0034071550255537</v>
      </c>
      <c r="C18" s="498">
        <f>IF(ISNUMBER(NºAsuntos!I18/NºAsuntos!G18),NºAsuntos!I18/NºAsuntos!G18," - ")</f>
        <v>0.18590831918505943</v>
      </c>
      <c r="D18" s="499">
        <f>IF(ISNUMBER('Resol  Asuntos'!D18/NºAsuntos!G18),'Resol  Asuntos'!D18/NºAsuntos!G18," - ")</f>
        <v>6.2818336162988112E-2</v>
      </c>
      <c r="E18" s="500">
        <f>IF(ISNUMBER((NºAsuntos!C18+NºAsuntos!E18)/NºAsuntos!G18),(NºAsuntos!C18+NºAsuntos!E18)/NºAsuntos!G18," - ")</f>
        <v>1.1859083191850595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0.93741109530583211</v>
      </c>
      <c r="C21" s="498">
        <f>IF(ISNUMBER(NºAsuntos!I21/NºAsuntos!G21),NºAsuntos!I21/NºAsuntos!G21," - ")</f>
        <v>1.464339908952959</v>
      </c>
      <c r="D21" s="499">
        <f>IF(ISNUMBER('Resol  Asuntos'!D21/NºAsuntos!G21),'Resol  Asuntos'!D21/NºAsuntos!G21," - ")</f>
        <v>0.8687405159332322</v>
      </c>
      <c r="E21" s="500">
        <f>IF(ISNUMBER((NºAsuntos!C21+NºAsuntos!E21)/NºAsuntos!G21),(NºAsuntos!C21+NºAsuntos!E21)/NºAsuntos!G21," - ")</f>
        <v>2.4666160849772383</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0.93141280636468626</v>
      </c>
      <c r="C23" s="1156">
        <f>IF(ISNUMBER(NºAsuntos!I23/NºAsuntos!G23),NºAsuntos!I23/NºAsuntos!G23," - ")</f>
        <v>0.54666942205689883</v>
      </c>
      <c r="D23" s="1159">
        <f>IF(ISNUMBER('Resol  Asuntos'!D23/NºAsuntos!G23),'Resol  Asuntos'!D23/NºAsuntos!G23," - ")</f>
        <v>0.20217675828339188</v>
      </c>
      <c r="E23" s="1158">
        <f>IF(ISNUMBER((NºAsuntos!C23+NºAsuntos!E23)/NºAsuntos!G23),(NºAsuntos!C23+NºAsuntos!E23)/NºAsuntos!G23," - ")</f>
        <v>1.5390232141627058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1.168227665706052</v>
      </c>
      <c r="C28" s="498">
        <f>IF(ISNUMBER(NºAsuntos!I28/NºAsuntos!G28),NºAsuntos!I28/NºAsuntos!G28," - ")</f>
        <v>0.77860006167129203</v>
      </c>
      <c r="D28" s="499">
        <f>IF(ISNUMBER('Resol  Asuntos'!D28/NºAsuntos!G28),'Resol  Asuntos'!D28/NºAsuntos!G28," - ")</f>
        <v>0.32562442183163737</v>
      </c>
      <c r="E28" s="500">
        <f>IF(ISNUMBER((NºAsuntos!C28+NºAsuntos!E28)/NºAsuntos!G28),(NºAsuntos!C28+NºAsuntos!E28)/NºAsuntos!G28," - ")</f>
        <v>1.7866173296330559</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1.168227665706052</v>
      </c>
      <c r="C30" s="1156">
        <f>IF(ISNUMBER(NºAsuntos!I30/NºAsuntos!G30),NºAsuntos!I30/NºAsuntos!G30," - ")</f>
        <v>0.77860006167129203</v>
      </c>
      <c r="D30" s="1159">
        <f>IF(ISNUMBER('Resol  Asuntos'!D30/NºAsuntos!G30),'Resol  Asuntos'!D30/NºAsuntos!G30," - ")</f>
        <v>0.32562442183163737</v>
      </c>
      <c r="E30" s="1158">
        <f>IF(ISNUMBER((NºAsuntos!C30+NºAsuntos!E30)/NºAsuntos!G30),(NºAsuntos!C30+NºAsuntos!E30)/NºAsuntos!G30," - ")</f>
        <v>1.7866173296330559</v>
      </c>
      <c r="G30" s="523"/>
    </row>
    <row r="31" spans="1:7" ht="15.75" customHeight="1" thickTop="1" thickBot="1">
      <c r="A31" s="1083" t="str">
        <f>Datos!A31</f>
        <v>TOTAL JURISDICCIONES</v>
      </c>
      <c r="B31" s="1098">
        <f>IF(ISNUMBER(NºAsuntos!G31/NºAsuntos!E31),NºAsuntos!G31/NºAsuntos!E31," - ")</f>
        <v>0.93665480427046266</v>
      </c>
      <c r="C31" s="1099">
        <f>IF(ISNUMBER(NºAsuntos!I31/NºAsuntos!G31),NºAsuntos!I31/NºAsuntos!G31," - ")</f>
        <v>0.77954758007949498</v>
      </c>
      <c r="D31" s="1100">
        <f>IF(ISNUMBER('Resol  Asuntos'!D31/NºAsuntos!G31),'Resol  Asuntos'!D31/NºAsuntos!G31," - ")</f>
        <v>0.21884498480243161</v>
      </c>
      <c r="E31" s="1101">
        <f>IF(ISNUMBER((NºAsuntos!C31+NºAsuntos!E31)/NºAsuntos!G31),(NºAsuntos!C31+NºAsuntos!E31)/NºAsuntos!G31," - ")</f>
        <v>1.7769172317044657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SCpQ3hnJgnQNs5H/mH75YbAxk27e0J9YBGtUT98NP+9SnHvyMYCZRedEr74PfX8fdew6fhdfpfW7fPblAWbLw==" saltValue="/XM6sq6xzPrhOsc1rW9c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SABADELL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315</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3505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2780</v>
      </c>
      <c r="Y9" s="374">
        <f>SUM(W9:X9)</f>
        <v>2780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16473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2546</v>
      </c>
      <c r="AJ9" s="243" t="str">
        <f>IF(ISNUMBER(Datos!BW9),Datos!BW9," - ")</f>
        <v xml:space="preserve"> - </v>
      </c>
      <c r="AK9" s="242" t="str">
        <f>IF(ISNUMBER(Datos!BX9),Datos!BX9," - ")</f>
        <v xml:space="preserve"> - </v>
      </c>
      <c r="AL9" s="266">
        <f>IF(ISNUMBER(NºAsuntos!G9/NºAsuntos!E9),NºAsuntos!G9/NºAsuntos!E9," - ")</f>
        <v>0.88527851458885942</v>
      </c>
      <c r="AM9" s="284">
        <f>IF(ISNUMBER(((NºAsuntos!I9/NºAsuntos!G9)*11)/factor_trimestre),((NºAsuntos!I9/NºAsuntos!G9)*11)/factor_trimestre," - ")</f>
        <v>12.361198501872657</v>
      </c>
      <c r="AN9" s="267">
        <f>IF(ISNUMBER('Resol  Asuntos'!D9/NºAsuntos!G9),'Resol  Asuntos'!D9/NºAsuntos!G9," - ")</f>
        <v>0.19071161048689139</v>
      </c>
      <c r="AO9" s="268">
        <f>IF(ISNUMBER((NºAsuntos!C9+NºAsuntos!E9)/NºAsuntos!G9),(NºAsuntos!C9+NºAsuntos!E9)/NºAsuntos!G9," - ")</f>
        <v>2.1186516853932584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1</v>
      </c>
      <c r="F10" s="239">
        <f>IF(ISNUMBER(Datos!L10+Datos!K10-Datos!J10-K10),Datos!L10+Datos!K10-Datos!J10-K10," - ")</f>
        <v>119</v>
      </c>
      <c r="G10" s="373">
        <f>IF(ISNUMBER(Datos!I10),Datos!I10," - ")</f>
        <v>119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202</v>
      </c>
      <c r="X10" s="240">
        <f>IF(ISNUMBER(Datos!Q10),Datos!Q10," - ")</f>
        <v>39</v>
      </c>
      <c r="Y10" s="374">
        <f t="shared" ref="Y10:Y13" si="0">SUM(W10:X10)</f>
        <v>241</v>
      </c>
      <c r="Z10" s="375" t="str">
        <f>IF(ISNUMBER(Datos!CC10),Datos!CC10," - ")</f>
        <v xml:space="preserve"> - </v>
      </c>
      <c r="AA10" s="372">
        <f>IF(ISNUMBER(Datos!L10),Datos!L10,"-")</f>
        <v>115</v>
      </c>
      <c r="AB10" s="374">
        <f>IF(ISNUMBER(Datos!R10),Datos!R10," - ")</f>
        <v>148</v>
      </c>
      <c r="AC10" s="374">
        <f t="shared" ref="AC10:AC13" si="1">IF(ISNUMBER(AA10+AB10),AA10+AB10," - ")</f>
        <v>263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62</v>
      </c>
      <c r="AJ10" s="245" t="str">
        <f>IF(ISNUMBER(Datos!BW10),Datos!BW10," - ")</f>
        <v xml:space="preserve"> - </v>
      </c>
      <c r="AK10" s="246" t="str">
        <f>IF(ISNUMBER(Datos!BX10),Datos!BX10," - ")</f>
        <v xml:space="preserve"> - </v>
      </c>
      <c r="AL10" s="266">
        <f>IF(ISNUMBER(NºAsuntos!G10/NºAsuntos!E10),NºAsuntos!G10/NºAsuntos!E10," - ")</f>
        <v>1.0202020202020201</v>
      </c>
      <c r="AM10" s="284">
        <f>IF(ISNUMBER(((NºAsuntos!I10/NºAsuntos!G10)*11)/factor_trimestre),((NºAsuntos!I10/NºAsuntos!G10)*11)/factor_trimestre," - ")</f>
        <v>6.2623762376237622</v>
      </c>
      <c r="AN10" s="267">
        <f>IF(ISNUMBER('Resol  Asuntos'!D10/NºAsuntos!G10),'Resol  Asuntos'!D10/NºAsuntos!G10," - ")</f>
        <v>0.30693069306930693</v>
      </c>
      <c r="AO10" s="268">
        <f>IF(ISNUMBER((NºAsuntos!C10+NºAsuntos!E10)/NºAsuntos!G10),(NºAsuntos!C10+NºAsuntos!E10)/NºAsuntos!G10," - ")</f>
        <v>1.5693069306930694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315</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227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558</v>
      </c>
      <c r="Y11" s="374">
        <f t="shared" si="0"/>
        <v>558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722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889</v>
      </c>
      <c r="AJ11" s="245" t="str">
        <f>IF(ISNUMBER(Datos!BW11),Datos!BW11," - ")</f>
        <v xml:space="preserve"> - </v>
      </c>
      <c r="AK11" s="246" t="str">
        <f>IF(ISNUMBER(Datos!BX11),Datos!BX11," - ")</f>
        <v xml:space="preserve"> - </v>
      </c>
      <c r="AL11" s="266">
        <f>IF(ISNUMBER(NºAsuntos!G11/NºAsuntos!E11),NºAsuntos!G11/NºAsuntos!E11," - ")</f>
        <v>1.0048442906574395</v>
      </c>
      <c r="AM11" s="284">
        <f>IF(ISNUMBER(((NºAsuntos!I11/NºAsuntos!G11)*11)/factor_trimestre),((NºAsuntos!I11/NºAsuntos!G11)*11)/factor_trimestre," - ")</f>
        <v>4.1477272727272725</v>
      </c>
      <c r="AN11" s="267">
        <f>IF(ISNUMBER('Resol  Asuntos'!D11/NºAsuntos!G11),'Resol  Asuntos'!D11/NºAsuntos!G11," - ")</f>
        <v>0.30612947658402206</v>
      </c>
      <c r="AO11" s="268">
        <f>IF(ISNUMBER((NºAsuntos!C11+NºAsuntos!E11)/NºAsuntos!G11),(NºAsuntos!C11+NºAsuntos!E11)/NºAsuntos!G11," - ")</f>
        <v>1.3987603305785123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315</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119</v>
      </c>
      <c r="G14" s="1163">
        <f t="shared" si="5"/>
        <v>119</v>
      </c>
      <c r="H14" s="1162">
        <f t="shared" si="5"/>
        <v>0</v>
      </c>
      <c r="I14" s="1164">
        <f t="shared" si="5"/>
        <v>0</v>
      </c>
      <c r="J14" s="1164">
        <f t="shared" si="5"/>
        <v>0</v>
      </c>
      <c r="K14" s="1164">
        <f t="shared" si="5"/>
        <v>0</v>
      </c>
      <c r="L14" s="1164">
        <f t="shared" si="5"/>
        <v>3785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202</v>
      </c>
      <c r="X14" s="1164">
        <f t="shared" si="6"/>
        <v>3377</v>
      </c>
      <c r="Y14" s="1165">
        <f t="shared" si="6"/>
        <v>3579</v>
      </c>
      <c r="Z14" s="1165">
        <f t="shared" si="6"/>
        <v>0</v>
      </c>
      <c r="AA14" s="1165">
        <f t="shared" si="6"/>
        <v>115</v>
      </c>
      <c r="AB14" s="1165">
        <f t="shared" si="6"/>
        <v>17343</v>
      </c>
      <c r="AC14" s="1165">
        <f t="shared" si="6"/>
        <v>263</v>
      </c>
      <c r="AD14" s="1165">
        <f t="shared" si="6"/>
        <v>0</v>
      </c>
      <c r="AE14" s="1169">
        <f t="shared" si="6"/>
        <v>0</v>
      </c>
      <c r="AF14" s="1162">
        <f t="shared" si="6"/>
        <v>0</v>
      </c>
      <c r="AG14" s="1170">
        <f t="shared" si="6"/>
        <v>0</v>
      </c>
      <c r="AH14" s="1167">
        <f t="shared" si="6"/>
        <v>0</v>
      </c>
      <c r="AI14" s="1162">
        <f t="shared" si="6"/>
        <v>3497</v>
      </c>
      <c r="AJ14" s="1164">
        <f t="shared" si="6"/>
        <v>0</v>
      </c>
      <c r="AK14" s="1167">
        <f>SUBTOTAL(9,AK9:AK13)</f>
        <v>0</v>
      </c>
      <c r="AL14" s="1171">
        <f>IF(ISNUMBER(NºAsuntos!G14/NºAsuntos!E14),NºAsuntos!G14/NºAsuntos!E14," - ")</f>
        <v>0.90576838397181858</v>
      </c>
      <c r="AM14" s="1171">
        <f>IF(ISNUMBER(((NºAsuntos!I14/NºAsuntos!G14)*11)/factor_trimestre),((NºAsuntos!I14/NºAsuntos!G14)*11)/factor_trimestre," - ")</f>
        <v>10.836898395721924</v>
      </c>
      <c r="AN14" s="1172">
        <f>IF(ISNUMBER('Resol  Asuntos'!D14/NºAsuntos!G14),'Resol  Asuntos'!D14/NºAsuntos!G14," - ")</f>
        <v>0.21250607681088965</v>
      </c>
      <c r="AO14" s="1173">
        <f>IF(ISNUMBER((NºAsuntos!C14+NºAsuntos!E14)/NºAsuntos!G14),(NºAsuntos!C14+NºAsuntos!E14)/NºAsuntos!G14," - ")</f>
        <v>1.9848687408847836</v>
      </c>
      <c r="AP14" s="1174" t="str">
        <f t="shared" si="2"/>
        <v xml:space="preserve"> - </v>
      </c>
      <c r="AQ14" s="1174">
        <f>IF(ISNUMBER((H14-W14+K14)/(F14)),(H14-W14+K14)/(F14)," - ")</f>
        <v>-1.6974789915966386</v>
      </c>
      <c r="AR14" s="1175">
        <f>IF(ISNUMBER((Datos!P14-Datos!Q14)/(Datos!R14-Datos!P14+Datos!Q14)),(Datos!P14-Datos!Q14)/(Datos!R14-Datos!P14+Datos!Q14)," - ")</f>
        <v>2.4092116917626218E-2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504</v>
      </c>
      <c r="C16" s="173" t="str">
        <f>Datos!A16</f>
        <v xml:space="preserve">Jdos. Instrucción                               </v>
      </c>
      <c r="D16" s="173"/>
      <c r="E16" s="1402">
        <f>IF(ISNUMBER(Datos!AQ16),Datos!AQ16," - ")</f>
        <v>5</v>
      </c>
      <c r="F16" s="239">
        <f>IF(ISNUMBER(AA16+W16-Datos!J16-K16),AA16+W16-Datos!J16-K16," - ")</f>
        <v>4802</v>
      </c>
      <c r="G16" s="373">
        <f>IF(ISNUMBER(IF(D_I="SI",Datos!I16,Datos!I16+Datos!AC16)),IF(D_I="SI",Datos!I16,Datos!I16+Datos!AC16)," - ")</f>
        <v>4688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439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12021</v>
      </c>
      <c r="X16" s="240">
        <f>IF(ISNUMBER(Datos!Q16),Datos!Q16," - ")</f>
        <v>293</v>
      </c>
      <c r="Y16" s="374">
        <f>SUM(W16)</f>
        <v>12021</v>
      </c>
      <c r="Z16" s="375" t="str">
        <f>IF(ISNUMBER(Datos!CC16),Datos!CC16," - ")</f>
        <v xml:space="preserve"> - </v>
      </c>
      <c r="AA16" s="372">
        <f>IF(ISNUMBER(IF(D_I="SI",Datos!L16,Datos!L16+Datos!AF16)),IF(D_I="SI",Datos!L16,Datos!L16+Datos!AF16)," - ")</f>
        <v>5787</v>
      </c>
      <c r="AB16" s="374">
        <f>IF(ISNUMBER(Datos!R16),Datos!R16," - ")</f>
        <v>597</v>
      </c>
      <c r="AC16" s="374">
        <f t="shared" ref="AC16:AC22" si="8">IF(ISNUMBER(AA16+AB16),AA16+AB16," - ")</f>
        <v>6384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1716</v>
      </c>
      <c r="AJ16" s="245" t="str">
        <f>IF(ISNUMBER(Datos!BW16),Datos!BW16," - ")</f>
        <v xml:space="preserve"> - </v>
      </c>
      <c r="AK16" s="246" t="str">
        <f>IF(ISNUMBER(Datos!BX16),Datos!BX16," - ")</f>
        <v xml:space="preserve"> - </v>
      </c>
      <c r="AL16" s="266">
        <f>IF(ISNUMBER(NºAsuntos!G16/NºAsuntos!E16),NºAsuntos!G16/NºAsuntos!E16," - ")</f>
        <v>0.92426572351222513</v>
      </c>
      <c r="AM16" s="284">
        <f>IF(ISNUMBER(((NºAsuntos!I16/NºAsuntos!G16)*11)/factor_trimestre),((NºAsuntos!I16/NºAsuntos!G16)*11)/factor_trimestre," - ")</f>
        <v>5.2954829049163958</v>
      </c>
      <c r="AN16" s="267">
        <f>IF(ISNUMBER('Resol  Asuntos'!D16/NºAsuntos!G16),'Resol  Asuntos'!D16/NºAsuntos!G16," - ")</f>
        <v>0.14275018717244822</v>
      </c>
      <c r="AO16" s="268">
        <f>IF(ISNUMBER((NºAsuntos!C16+NºAsuntos!E16)/NºAsuntos!G16),(NºAsuntos!C16+NºAsuntos!E16)/NºAsuntos!G16," - ")</f>
        <v>1.4719241327676567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504</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1178</v>
      </c>
      <c r="X18" s="240">
        <f>IF(ISNUMBER(Datos!Q18),Datos!Q18," - ")</f>
        <v>5</v>
      </c>
      <c r="Y18" s="374">
        <f t="shared" si="9"/>
        <v>1183</v>
      </c>
      <c r="Z18" s="375" t="str">
        <f>IF(ISNUMBER(Datos!CC18),Datos!CC18," - ")</f>
        <v xml:space="preserve"> - </v>
      </c>
      <c r="AA18" s="372">
        <f>IF(ISNUMBER(Datos!L18),Datos!L18,"-")</f>
        <v>219</v>
      </c>
      <c r="AB18" s="374">
        <f>IF(ISNUMBER(Datos!R18),Datos!R18," - ")</f>
        <v>7</v>
      </c>
      <c r="AC18" s="374">
        <f t="shared" si="8"/>
        <v>226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74</v>
      </c>
      <c r="AJ18" s="245" t="str">
        <f>IF(ISNUMBER(Datos!BW18),Datos!BW18," - ")</f>
        <v xml:space="preserve"> - </v>
      </c>
      <c r="AK18" s="246" t="str">
        <f>IF(ISNUMBER(Datos!BX18),Datos!BX18," - ")</f>
        <v xml:space="preserve"> - </v>
      </c>
      <c r="AL18" s="266">
        <f>IF(ISNUMBER(NºAsuntos!G18/NºAsuntos!E18),NºAsuntos!G18/NºAsuntos!E18," - ")</f>
        <v>1.0034071550255537</v>
      </c>
      <c r="AM18" s="284">
        <f>IF(ISNUMBER(((NºAsuntos!I18/NºAsuntos!G18)*11)/factor_trimestre),((NºAsuntos!I18/NºAsuntos!G18)*11)/factor_trimestre," - ")</f>
        <v>2.0449915110356538</v>
      </c>
      <c r="AN18" s="267">
        <f>IF(ISNUMBER('Resol  Asuntos'!D18/NºAsuntos!G18),'Resol  Asuntos'!D18/NºAsuntos!G18," - ")</f>
        <v>6.2818336162988112E-2</v>
      </c>
      <c r="AO18" s="268">
        <f>IF(ISNUMBER((NºAsuntos!C18+NºAsuntos!E18)/NºAsuntos!G18),(NºAsuntos!C18+NºAsuntos!E18)/NºAsuntos!G18," - ")</f>
        <v>1.1859083191850595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4</v>
      </c>
      <c r="B21" s="300" t="s">
        <v>504</v>
      </c>
      <c r="C21" s="7" t="str">
        <f>Datos!A21</f>
        <v xml:space="preserve">Jdos. de lo Penal                               </v>
      </c>
      <c r="D21" s="7"/>
      <c r="E21" s="1402">
        <f>IF(ISNUMBER(Datos!AQ21),Datos!AQ21," - ")</f>
        <v>4</v>
      </c>
      <c r="F21" s="239">
        <f>IF(ISNUMBER(Datos!L21+Datos!K21-Datos!J21-K21),Datos!L21+Datos!K21-Datos!J21-K21," - ")</f>
        <v>1842</v>
      </c>
      <c r="G21" s="373">
        <f>IF(ISNUMBER(Datos!I21),Datos!I21," - ")</f>
        <v>1845</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2031</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1318</v>
      </c>
      <c r="X21" s="240">
        <f>IF(ISNUMBER(Datos!Q21),Datos!Q21," - ")</f>
        <v>2331</v>
      </c>
      <c r="Y21" s="374">
        <f t="shared" si="9"/>
        <v>3649</v>
      </c>
      <c r="Z21" s="375" t="str">
        <f>IF(ISNUMBER(Datos!CC21),Datos!CC21," - ")</f>
        <v xml:space="preserve"> - </v>
      </c>
      <c r="AA21" s="372">
        <f>IF(ISNUMBER(Datos!L21),Datos!L21,"-")</f>
        <v>1930</v>
      </c>
      <c r="AB21" s="374">
        <f>IF(ISNUMBER(Datos!R21),Datos!R21," - ")</f>
        <v>4274</v>
      </c>
      <c r="AC21" s="374">
        <f t="shared" si="8"/>
        <v>6204</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1145</v>
      </c>
      <c r="AJ21" s="245" t="str">
        <f>IF(ISNUMBER(Datos!BW21),Datos!BW21," - ")</f>
        <v xml:space="preserve"> - </v>
      </c>
      <c r="AK21" s="246" t="str">
        <f>IF(ISNUMBER(Datos!BX21),Datos!BX21," - ")</f>
        <v xml:space="preserve"> - </v>
      </c>
      <c r="AL21" s="266">
        <f>IF(ISNUMBER(NºAsuntos!G21/NºAsuntos!E21),NºAsuntos!G21/NºAsuntos!E21," - ")</f>
        <v>0.93741109530583211</v>
      </c>
      <c r="AM21" s="284">
        <f>IF(ISNUMBER(((NºAsuntos!I21/NºAsuntos!G21)*11)/factor_trimestre),((NºAsuntos!I21/NºAsuntos!G21)*11)/factor_trimestre," - ")</f>
        <v>16.107738998482549</v>
      </c>
      <c r="AN21" s="267">
        <f>IF(ISNUMBER('Resol  Asuntos'!D21/NºAsuntos!G21),'Resol  Asuntos'!D21/NºAsuntos!G21," - ")</f>
        <v>0.8687405159332322</v>
      </c>
      <c r="AO21" s="268">
        <f>IF(ISNUMBER((NºAsuntos!C21+NºAsuntos!E21)/NºAsuntos!G21),(NºAsuntos!C21+NºAsuntos!E21)/NºAsuntos!G21," - ")</f>
        <v>2.4666160849772383</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6644</v>
      </c>
      <c r="G23" s="1163">
        <f>SUBTOTAL(9,G16:G22)</f>
        <v>6756</v>
      </c>
      <c r="H23" s="1162">
        <f t="shared" ref="H23:O23" si="13">SUBTOTAL(9,H15:H22)</f>
        <v>0</v>
      </c>
      <c r="I23" s="1164">
        <f t="shared" si="13"/>
        <v>0</v>
      </c>
      <c r="J23" s="1164">
        <f t="shared" si="13"/>
        <v>0</v>
      </c>
      <c r="K23" s="1164">
        <f t="shared" si="13"/>
        <v>0</v>
      </c>
      <c r="L23" s="1164">
        <f t="shared" si="13"/>
        <v>2481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14517</v>
      </c>
      <c r="X23" s="1164">
        <f t="shared" si="14"/>
        <v>2629</v>
      </c>
      <c r="Y23" s="1165">
        <f t="shared" si="14"/>
        <v>16853</v>
      </c>
      <c r="Z23" s="1165">
        <f t="shared" si="14"/>
        <v>0</v>
      </c>
      <c r="AA23" s="1165">
        <f t="shared" si="14"/>
        <v>7936</v>
      </c>
      <c r="AB23" s="1165">
        <f t="shared" si="14"/>
        <v>4878</v>
      </c>
      <c r="AC23" s="1165">
        <f t="shared" si="14"/>
        <v>12814</v>
      </c>
      <c r="AD23" s="1165">
        <f t="shared" si="14"/>
        <v>0</v>
      </c>
      <c r="AE23" s="1169">
        <f t="shared" si="14"/>
        <v>0</v>
      </c>
      <c r="AF23" s="1162">
        <f t="shared" si="14"/>
        <v>0</v>
      </c>
      <c r="AG23" s="1170">
        <f t="shared" si="14"/>
        <v>0</v>
      </c>
      <c r="AH23" s="1167">
        <f t="shared" si="14"/>
        <v>0</v>
      </c>
      <c r="AI23" s="1162">
        <f t="shared" si="14"/>
        <v>2935</v>
      </c>
      <c r="AJ23" s="1164">
        <f t="shared" si="14"/>
        <v>0</v>
      </c>
      <c r="AK23" s="1167">
        <f t="shared" si="14"/>
        <v>0</v>
      </c>
      <c r="AL23" s="1171">
        <f>IF(ISNUMBER(NºAsuntos!G23/NºAsuntos!E23),NºAsuntos!G23/NºAsuntos!E23," - ")</f>
        <v>0.93141280636468626</v>
      </c>
      <c r="AM23" s="1171">
        <f>IF(ISNUMBER(((NºAsuntos!I23/NºAsuntos!G23)*11)/factor_trimestre),((NºAsuntos!I23/NºAsuntos!G23)*11)/factor_trimestre," - ")</f>
        <v>6.0133636426258867</v>
      </c>
      <c r="AN23" s="1172">
        <f>IF(ISNUMBER('Resol  Asuntos'!D23/NºAsuntos!G23),'Resol  Asuntos'!D23/NºAsuntos!G23," - ")</f>
        <v>0.20217675828339188</v>
      </c>
      <c r="AO23" s="1173">
        <f>IF(ISNUMBER((NºAsuntos!C23+NºAsuntos!E23)/NºAsuntos!G23),(NºAsuntos!C23+NºAsuntos!E23)/NºAsuntos!G23," - ")</f>
        <v>1.5390232141627058</v>
      </c>
      <c r="AP23" s="1174" t="str">
        <f t="shared" si="2"/>
        <v xml:space="preserve"> - </v>
      </c>
      <c r="AQ23" s="1174">
        <f>IF(ISNUMBER((H23-W23+K23)/(F23)),(H23-W23+K23)/(F23)," - ")</f>
        <v>-2.1849789283564118</v>
      </c>
      <c r="AR23" s="1175">
        <f>IF(ISNUMBER((Datos!P23-Datos!Q23)/(Datos!R23-Datos!P23+Datos!Q23)),(Datos!P23-Datos!Q23)/(Datos!R23-Datos!P23+Datos!Q23)," - ")</f>
        <v>-2.9446876243533624E-2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3</v>
      </c>
      <c r="B28" s="300" t="s">
        <v>506</v>
      </c>
      <c r="C28" s="7" t="str">
        <f>Datos!A28</f>
        <v xml:space="preserve">Jdos. de lo Social                              </v>
      </c>
      <c r="D28" s="7"/>
      <c r="E28" s="1402">
        <f>IF(ISNUMBER(Datos!AQ28),Datos!AQ28," - ")</f>
        <v>3</v>
      </c>
      <c r="F28" s="239">
        <f>IF(ISNUMBER(Datos!L28+Datos!K28-Datos!J28-K28),Datos!L28+Datos!K28-Datos!J28-K28," - ")</f>
        <v>2992</v>
      </c>
      <c r="G28" s="373">
        <f>IF(ISNUMBER(Datos!I28),Datos!I28," - ")</f>
        <v>3018</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157</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3243</v>
      </c>
      <c r="X28" s="240">
        <f>IF(ISNUMBER(Datos!Q28),Datos!Q28," - ")</f>
        <v>177</v>
      </c>
      <c r="Y28" s="374">
        <f>SUM(W28:X28)</f>
        <v>3420</v>
      </c>
      <c r="Z28" s="375" t="str">
        <f>IF(ISNUMBER(Datos!CC28),Datos!CC28," - ")</f>
        <v xml:space="preserve"> - </v>
      </c>
      <c r="AA28" s="372">
        <f>IF(ISNUMBER(Datos!L28),Datos!L28,"-")</f>
        <v>2525</v>
      </c>
      <c r="AB28" s="374">
        <f>IF(ISNUMBER(Datos!R28),Datos!R28," - ")</f>
        <v>110</v>
      </c>
      <c r="AC28" s="374">
        <f>IF(ISNUMBER(AA28+AB28),AA28+AB28," - ")</f>
        <v>2635</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1056</v>
      </c>
      <c r="AJ28" s="245" t="str">
        <f>IF(ISNUMBER(Datos!BW28),Datos!BW28," - ")</f>
        <v xml:space="preserve"> - </v>
      </c>
      <c r="AK28" s="246" t="str">
        <f>IF(ISNUMBER(Datos!BX28),Datos!BX28," - ")</f>
        <v xml:space="preserve"> - </v>
      </c>
      <c r="AL28" s="266">
        <f>IF(ISNUMBER(NºAsuntos!G28/NºAsuntos!E28),NºAsuntos!G28/NºAsuntos!E28," - ")</f>
        <v>1.168227665706052</v>
      </c>
      <c r="AM28" s="284">
        <f>IF(ISNUMBER(((NºAsuntos!I28/NºAsuntos!G28)*11)/factor_trimestre),((NºAsuntos!I28/NºAsuntos!G28)*11)/factor_trimestre," - ")</f>
        <v>8.5646006783842132</v>
      </c>
      <c r="AN28" s="267">
        <f>IF(ISNUMBER('Resol  Asuntos'!D28/NºAsuntos!G28),'Resol  Asuntos'!D28/NºAsuntos!G28," - ")</f>
        <v>0.32562442183163737</v>
      </c>
      <c r="AO28" s="268">
        <f>IF(ISNUMBER((NºAsuntos!C28+NºAsuntos!E28)/NºAsuntos!G28),(NºAsuntos!C28+NºAsuntos!E28)/NºAsuntos!G28," - ")</f>
        <v>1.7866173296330559</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3</v>
      </c>
      <c r="F30" s="1162">
        <f>SUBTOTAL(9,F28:F29)</f>
        <v>2992</v>
      </c>
      <c r="G30" s="1162">
        <f>SUBTOTAL(9,G28:G29)</f>
        <v>3018</v>
      </c>
      <c r="H30" s="1162">
        <f>SUBTOTAL(9,H28:H29)</f>
        <v>0</v>
      </c>
      <c r="I30" s="1167">
        <f>SUBTOTAL(9,I28:I29)</f>
        <v>0</v>
      </c>
      <c r="J30" s="1167">
        <f>SUBTOTAL(9,J28:J29)</f>
        <v>0</v>
      </c>
      <c r="K30" s="1167">
        <f>SUBTOTAL(9,K23:K29)</f>
        <v>0</v>
      </c>
      <c r="L30" s="1167">
        <f>SUBTOTAL(9,L28:L29)</f>
        <v>157</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3243</v>
      </c>
      <c r="X30" s="1164">
        <f t="shared" si="19"/>
        <v>177</v>
      </c>
      <c r="Y30" s="1165">
        <f t="shared" si="19"/>
        <v>3420</v>
      </c>
      <c r="Z30" s="1165">
        <f t="shared" si="19"/>
        <v>0</v>
      </c>
      <c r="AA30" s="1165">
        <f t="shared" si="19"/>
        <v>2525</v>
      </c>
      <c r="AB30" s="1165">
        <f t="shared" si="19"/>
        <v>110</v>
      </c>
      <c r="AC30" s="1165">
        <f t="shared" si="19"/>
        <v>2635</v>
      </c>
      <c r="AD30" s="1165">
        <f t="shared" si="19"/>
        <v>0</v>
      </c>
      <c r="AE30" s="1169">
        <f t="shared" si="19"/>
        <v>0</v>
      </c>
      <c r="AF30" s="1162">
        <f t="shared" si="19"/>
        <v>0</v>
      </c>
      <c r="AG30" s="1170">
        <f t="shared" si="19"/>
        <v>0</v>
      </c>
      <c r="AH30" s="1167">
        <f t="shared" si="19"/>
        <v>0</v>
      </c>
      <c r="AI30" s="1162">
        <f t="shared" si="19"/>
        <v>1056</v>
      </c>
      <c r="AJ30" s="1164">
        <f t="shared" si="19"/>
        <v>0</v>
      </c>
      <c r="AK30" s="1167">
        <f t="shared" si="19"/>
        <v>0</v>
      </c>
      <c r="AL30" s="1171">
        <f>IF(ISNUMBER(NºAsuntos!G30/NºAsuntos!E30),NºAsuntos!G30/NºAsuntos!E30," - ")</f>
        <v>1.168227665706052</v>
      </c>
      <c r="AM30" s="1171">
        <f>IF(ISNUMBER(((NºAsuntos!I30/NºAsuntos!G30)*11)/factor_trimestre),((NºAsuntos!I30/NºAsuntos!G30)*11)/factor_trimestre," - ")</f>
        <v>8.5646006783842132</v>
      </c>
      <c r="AN30" s="1172">
        <f>IF(ISNUMBER('Resol  Asuntos'!D30/NºAsuntos!G30),'Resol  Asuntos'!D30/NºAsuntos!G30," - ")</f>
        <v>0.32562442183163737</v>
      </c>
      <c r="AO30" s="1173">
        <f>IF(ISNUMBER((NºAsuntos!C30+NºAsuntos!E30)/NºAsuntos!G30),(NºAsuntos!C30+NºAsuntos!E30)/NºAsuntos!G30," - ")</f>
        <v>1.7866173296330559</v>
      </c>
      <c r="AP30" s="1174" t="str">
        <f t="shared" si="2"/>
        <v xml:space="preserve"> - </v>
      </c>
      <c r="AQ30" s="1174">
        <f t="shared" si="18"/>
        <v>-1.0838903743315509</v>
      </c>
      <c r="AR30" s="1175">
        <f>IF(ISNUMBER((Datos!P30-Datos!Q30)/(Datos!R30-Datos!P30+Datos!Q30)),(Datos!P30-Datos!Q30)/(Datos!R30-Datos!P30+Datos!Q30)," - ")</f>
        <v>-0.15384615384615385</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24</v>
      </c>
      <c r="F31" s="1117">
        <f t="shared" si="20"/>
        <v>9755</v>
      </c>
      <c r="G31" s="1118">
        <f t="shared" si="20"/>
        <v>9893</v>
      </c>
      <c r="H31" s="1117">
        <f t="shared" si="20"/>
        <v>0</v>
      </c>
      <c r="I31" s="1119">
        <f t="shared" si="20"/>
        <v>0</v>
      </c>
      <c r="J31" s="1119">
        <f t="shared" si="20"/>
        <v>0</v>
      </c>
      <c r="K31" s="1180">
        <f t="shared" si="20"/>
        <v>0</v>
      </c>
      <c r="L31" s="1119">
        <f t="shared" si="20"/>
        <v>6423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17962</v>
      </c>
      <c r="X31" s="1118">
        <f t="shared" si="21"/>
        <v>6183</v>
      </c>
      <c r="Y31" s="1125">
        <f t="shared" si="21"/>
        <v>23852</v>
      </c>
      <c r="Z31" s="1125">
        <f t="shared" si="21"/>
        <v>0</v>
      </c>
      <c r="AA31" s="1125">
        <f t="shared" si="21"/>
        <v>10576</v>
      </c>
      <c r="AB31" s="1125">
        <f t="shared" si="21"/>
        <v>22331</v>
      </c>
      <c r="AC31" s="1125">
        <f t="shared" si="21"/>
        <v>15712</v>
      </c>
      <c r="AD31" s="1125">
        <f t="shared" si="21"/>
        <v>0</v>
      </c>
      <c r="AE31" s="1127">
        <f t="shared" si="21"/>
        <v>0</v>
      </c>
      <c r="AF31" s="1128">
        <f t="shared" si="21"/>
        <v>0</v>
      </c>
      <c r="AG31" s="1129">
        <f t="shared" si="21"/>
        <v>0</v>
      </c>
      <c r="AH31" s="1127">
        <f t="shared" si="21"/>
        <v>0</v>
      </c>
      <c r="AI31" s="1117">
        <f t="shared" si="21"/>
        <v>7488</v>
      </c>
      <c r="AJ31" s="1117">
        <f t="shared" si="21"/>
        <v>0</v>
      </c>
      <c r="AK31" s="1127">
        <f t="shared" si="21"/>
        <v>0</v>
      </c>
      <c r="AL31" s="1183">
        <f>IF(ISNUMBER(NºAsuntos!G31/NºAsuntos!E31),NºAsuntos!G31/NºAsuntos!E31," - ")</f>
        <v>0.93665480427046266</v>
      </c>
      <c r="AM31" s="1184">
        <f>IF(ISNUMBER(((NºAsuntos!I31/NºAsuntos!G31)*11)/factor_trimestre),((NºAsuntos!I31/NºAsuntos!G31)*11)/factor_trimestre," - ")</f>
        <v>8.5750233808744447</v>
      </c>
      <c r="AN31" s="1184">
        <f>IF(ISNUMBER('Resol  Asuntos'!D31/NºAsuntos!G31),'Resol  Asuntos'!D31/NºAsuntos!G31," - ")</f>
        <v>0.21884498480243161</v>
      </c>
      <c r="AO31" s="1185">
        <f>IF(ISNUMBER((NºAsuntos!C31+NºAsuntos!E31)/NºAsuntos!G31),(NºAsuntos!C31+NºAsuntos!E31)/NºAsuntos!G31," - ")</f>
        <v>1.7769172317044657</v>
      </c>
      <c r="AP31" s="1186" t="str">
        <f t="shared" si="2"/>
        <v xml:space="preserve"> - </v>
      </c>
      <c r="AQ31" s="1187">
        <f>IF(OR(ISNUMBER(FIND("01",Criterios!A8,1)),ISNUMBER(FIND("02",Criterios!A8,1)),ISNUMBER(FIND("03",Criterios!A8,1)),ISNUMBER(FIND("04",Criterios!A8,1))),(I31-W31+K31)/(F31-K31),(H31-W31+K31)/(F31-K31))</f>
        <v>-1.8413121476166068</v>
      </c>
      <c r="AR31" s="1188">
        <f>IF(ISNUMBER((Datos!P31-Datos!Q31)/(Datos!R31-Datos!P31+Datos!Q31)),(Datos!P31-Datos!Q31)/(Datos!R31-Datos!P31+Datos!Q31)," - ")</f>
        <v>1.0864152822416368E-2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2198.4444444444443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3.5647724105728389</v>
      </c>
      <c r="F33" s="276">
        <f>IF(ISNUMBER(STDEV(F8:F30)),STDEV(F8:F30),"-")</f>
        <v>2418.5988121814898</v>
      </c>
      <c r="G33" s="277">
        <f>IF(ISNUMBER(STDEV(G8:G30)),STDEV(G8:G30),"-")</f>
        <v>2393.2504628178344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5432.490246450312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1192.5519161559687</v>
      </c>
      <c r="AJ33" s="276">
        <f t="shared" si="25"/>
        <v>0</v>
      </c>
      <c r="AK33" s="278">
        <f t="shared" si="25"/>
        <v>0</v>
      </c>
      <c r="AL33" s="273">
        <f t="shared" si="25"/>
        <v>0.10175271003518746</v>
      </c>
      <c r="AM33" s="274">
        <f t="shared" si="25"/>
        <v>4.1901958252482991</v>
      </c>
      <c r="AN33" s="274">
        <f t="shared" si="25"/>
        <v>0.21977319419953525</v>
      </c>
      <c r="AO33" s="275">
        <f t="shared" si="25"/>
        <v>0.38001003690548824</v>
      </c>
      <c r="AP33" s="317" t="str">
        <f t="shared" si="25"/>
        <v>-</v>
      </c>
      <c r="AQ33" s="318">
        <f t="shared" si="25"/>
        <v>0.5517461951813577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bV8u4J2JATJybw2VwEArWCW+LGet1Rw0hesYK5lZp8uMhdzAFq/6l9xjO+2jZvvobow9uO1sazVsNB8QRCo0Q==" saltValue="tyhZE3R9SCySD4G8UvRU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SABADELL</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5.7748234316576649E-2</v>
      </c>
      <c r="I9" s="395">
        <f>IF(ISNUMBER((Tasas!C9-Datos!BE9)/Datos!BE9),(Tasas!C9-Datos!BE9)/Datos!BE9," - ")</f>
        <v>-3.8978178216338977E-2</v>
      </c>
      <c r="J9" s="394">
        <f>IF(ISNUMBER((Tasas!D9-Datos!BF9)/Datos!BF9),(Tasas!D9-Datos!BF9)/Datos!BF9," - ")</f>
        <v>-0.57220589876480377</v>
      </c>
      <c r="K9" s="396">
        <f>IF(ISNUMBER((Tasas!E9-Datos!BG9)/Datos!BG9),(Tasas!E9-Datos!BG9)/Datos!BG9," - ")</f>
        <v>-2.3398178084635991E-2</v>
      </c>
      <c r="M9" t="e">
        <f>IF(Monitorios="SI",Datos!CE9,0)</f>
        <v>#REF!</v>
      </c>
      <c r="N9" t="e">
        <f>IF(Monitorios="SI",Datos!CF9,0)</f>
        <v>#REF!</v>
      </c>
      <c r="O9" t="e">
        <f>IF(Monitorios="SI",Datos!CG9,0)</f>
        <v>#REF!</v>
      </c>
      <c r="P9" t="e">
        <f>IF(Monitorios="SI",Datos!CH9,0)</f>
        <v>#REF!</v>
      </c>
      <c r="Q9">
        <f>IF(J_V="SI",0,Datos!AG9)</f>
        <v>312</v>
      </c>
      <c r="R9">
        <f>IF(J_V="SI",0,Datos!AH9)</f>
        <v>661</v>
      </c>
      <c r="S9">
        <f>IF(J_V="SI",0,Datos!AI9)</f>
        <v>672</v>
      </c>
      <c r="T9">
        <f>IF(J_V="SI",0,Datos!AJ9)</f>
        <v>301</v>
      </c>
    </row>
    <row r="10" spans="2:20" ht="14.25">
      <c r="B10" s="300" t="s">
        <v>315</v>
      </c>
      <c r="C10" s="7" t="str">
        <f>Datos!A10</f>
        <v>Jdos. Violencia contra la mujer</v>
      </c>
      <c r="D10" s="397">
        <f>IF(ISNUMBER((Datos!I10-Datos!S10)/Datos!S10),(Datos!I10-Datos!S10)/Datos!S10," - ")</f>
        <v>6.25E-2</v>
      </c>
      <c r="E10" s="393">
        <f>IF(ISNUMBER((Datos!J10-Datos!T10)/Datos!T10),(Datos!J10-Datos!T10)/Datos!T10," - ")</f>
        <v>-1.9801980198019802E-2</v>
      </c>
      <c r="F10" s="393">
        <f>IF(ISNUMBER((Datos!K10-Datos!U10)/Datos!U10),(Datos!K10-Datos!U10)/Datos!U10," - ")</f>
        <v>3.5897435897435895E-2</v>
      </c>
      <c r="G10" s="394">
        <f>IF(ISNUMBER((Datos!L10-Datos!V10)/Datos!V10),(Datos!L10-Datos!V10)/Datos!V10," - ")</f>
        <v>-3.3613445378151259E-2</v>
      </c>
      <c r="H10" s="244">
        <f>IF(ISNUMBER((Datos!M10-Datos!W10)/Datos!W10),(Datos!M10-Datos!W10)/Datos!W10," - ")</f>
        <v>-0.11428571428571428</v>
      </c>
      <c r="I10" s="395">
        <f>IF(ISNUMBER((Tasas!C10-Datos!BE10)/Datos!BE10),(Tasas!C10-Datos!BE10)/Datos!BE10," - ")</f>
        <v>-6.7102088360096679E-2</v>
      </c>
      <c r="J10" s="394">
        <f>IF(ISNUMBER((Tasas!D10-Datos!BF10)/Datos!BF10),(Tasas!D10-Datos!BF10)/Datos!BF10," - ")</f>
        <v>-0.14497878359264499</v>
      </c>
      <c r="K10" s="396">
        <f>IF(ISNUMBER((Tasas!E10-Datos!BG10)/Datos!BG10),(Tasas!E10-Datos!BG10)/Datos!BG10," - ")</f>
        <v>-2.5430409282966505E-2</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-0.1318359375</v>
      </c>
      <c r="I11" s="395">
        <f>IF(ISNUMBER((Tasas!C11-Datos!BE11)/Datos!BE11),(Tasas!C11-Datos!BE11)/Datos!BE11," - ")</f>
        <v>-7.3421149127013238E-2</v>
      </c>
      <c r="J11" s="394">
        <f>IF(ISNUMBER((Tasas!D11-Datos!BF11)/Datos!BF11),(Tasas!D11-Datos!BF11)/Datos!BF11," - ")</f>
        <v>-0.26833784849627923</v>
      </c>
      <c r="K11" s="396">
        <f>IF(ISNUMBER((Tasas!E11-Datos!BG11)/Datos!BG11),(Tasas!E11-Datos!BG11)/Datos!BG11," - ")</f>
        <v>-2.5065403662605148E-2</v>
      </c>
      <c r="M11" t="e">
        <f>IF(Monitorios="SI",Datos!CE11,0)</f>
        <v>#REF!</v>
      </c>
      <c r="N11" t="e">
        <f>IF(Monitorios="SI",Datos!CF11,0)</f>
        <v>#REF!</v>
      </c>
      <c r="O11" t="e">
        <f>IF(Monitorios="SI",Datos!CG11,0)</f>
        <v>#REF!</v>
      </c>
      <c r="P11" t="e">
        <f>IF(Monitorios="SI",Datos!CH11,0)</f>
        <v>#REF!</v>
      </c>
      <c r="Q11">
        <f>IF(J_V="SI",0,Datos!AG11)</f>
        <v>29</v>
      </c>
      <c r="R11">
        <f>IF(J_V="SI",0,Datos!AH11)</f>
        <v>791</v>
      </c>
      <c r="S11">
        <f>IF(J_V="SI",0,Datos!AI11)</f>
        <v>772</v>
      </c>
      <c r="T11">
        <f>IF(J_V="SI",0,Datos!AJ11)</f>
        <v>71</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-1.1425307055127106E-3</v>
      </c>
      <c r="I14" s="402">
        <f>IF(ISNUMBER((Tasas!C14-Datos!BE14)/Datos!BE14),(Tasas!C14-Datos!BE14)/Datos!BE14," - ")</f>
        <v>-2.3527114357070583E-2</v>
      </c>
      <c r="J14" s="400">
        <f>IF(ISNUMBER((Tasas!D14-Datos!BF14)/Datos!BF14),(Tasas!D14-Datos!BF14)/Datos!BF14," - ")</f>
        <v>-0.51607627111395604</v>
      </c>
      <c r="K14" s="403">
        <f>IF(ISNUMBER((Tasas!E14-Datos!BG14)/Datos!BG14),(Tasas!E14-Datos!BG14)/Datos!BG14," - ")</f>
        <v>-1.4732087195809389E-2</v>
      </c>
      <c r="M14" t="e">
        <f>IF(Monitorios="SI",Datos!CE14,0)</f>
        <v>#REF!</v>
      </c>
      <c r="N14" t="e">
        <f>IF(Monitorios="SI",Datos!CF14,0)</f>
        <v>#REF!</v>
      </c>
      <c r="O14" t="e">
        <f>IF(Monitorios="SI",Datos!CG14,0)</f>
        <v>#REF!</v>
      </c>
      <c r="P14" t="e">
        <f>IF(Monitorios="SI",Datos!CH14,0)</f>
        <v>#REF!</v>
      </c>
      <c r="Q14">
        <f>IF(J_V="SI",0,Datos!AG14)</f>
        <v>341</v>
      </c>
      <c r="R14">
        <f>IF(J_V="SI",0,Datos!AH14)</f>
        <v>1452</v>
      </c>
      <c r="S14">
        <f>IF(J_V="SI",0,Datos!AI14)</f>
        <v>1444</v>
      </c>
      <c r="T14">
        <f>IF(J_V="SI",0,Datos!AJ14)</f>
        <v>372</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f>IF(ISNUMBER(
   IF(D_I="SI",(Datos!I16-Datos!S16)/Datos!S16,(Datos!I16+Datos!AC16-(Datos!S16+Datos!AK16))/(Datos!S16+Datos!AK16))
     ),IF(D_I="SI",(Datos!I16-Datos!S16)/Datos!S16,(Datos!I16+Datos!AC16-(Datos!S16+Datos!AK16))/(Datos!S16+Datos!AK16))," - ")</f>
        <v>0.12072675113554865</v>
      </c>
      <c r="E16" s="393">
        <f>IF(ISNUMBER(
   IF(D_I="SI",(Datos!J16-Datos!T16)/Datos!T16,(Datos!J16+Datos!AD16-(Datos!T16+Datos!AL16))/(Datos!T16+Datos!AL16))
     ),IF(D_I="SI",(Datos!J16-Datos!T16)/Datos!T16,(Datos!J16+Datos!AD16-(Datos!T16+Datos!AL16))/(Datos!T16+Datos!AL16))," - ")</f>
        <v>0.11534173741531602</v>
      </c>
      <c r="F16" s="393">
        <f>IF(ISNUMBER(
   IF(D_I="SI",(Datos!K16-Datos!U16)/Datos!U16,(Datos!K16+Datos!AE16-(Datos!U16+Datos!AM16))/(Datos!U16+Datos!AM16))
     ),IF(D_I="SI",(Datos!K16-Datos!U16)/Datos!U16,(Datos!K16+Datos!AE16-(Datos!U16+Datos!AM16))/(Datos!U16+Datos!AM16))," - ")</f>
        <v>6.8818351560416116E-2</v>
      </c>
      <c r="G16" s="394">
        <f>IF(ISNUMBER(
   IF(D_I="SI",(Datos!L16-Datos!V16)/Datos!V16,(Datos!L16+Datos!AF16-(Datos!V16+Datos!AN16))/(Datos!V16+Datos!AN16))
     ),IF(D_I="SI",(Datos!L16-Datos!V16)/Datos!V16,(Datos!L16+Datos!AF16-(Datos!V16+Datos!AN16))/(Datos!V16+Datos!AN16))," - ")</f>
        <v>0.2344283276450512</v>
      </c>
      <c r="H16" s="244">
        <f>IF(ISNUMBER((Datos!M16-Datos!W16)/Datos!W16),(Datos!M16-Datos!W16)/Datos!W16," - ")</f>
        <v>0.15400134498991258</v>
      </c>
      <c r="I16" s="395">
        <f>IF(ISNUMBER((Tasas!C16-Datos!BE16)/Datos!BE16),(Tasas!C16-Datos!BE16)/Datos!BE16," - ")</f>
        <v>0.15494679319722904</v>
      </c>
      <c r="J16" s="394">
        <f>IF(ISNUMBER((Tasas!D16-Datos!BF16)/Datos!BF16),(Tasas!D16-Datos!BF16)/Datos!BF16," - ")</f>
        <v>7.9698288586768737E-2</v>
      </c>
      <c r="K16" s="396">
        <f>IF(ISNUMBER((Tasas!E16-Datos!BG16)/Datos!BG16),(Tasas!E16-Datos!BG16)/Datos!BG16," - ")</f>
        <v>4.4858035927659322E-2</v>
      </c>
    </row>
    <row r="17" spans="2:20" ht="14.25">
      <c r="B17" s="300" t="s">
        <v>504</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-0.38055555555555554</v>
      </c>
      <c r="E18" s="393">
        <f>IF(ISNUMBER(
   IF(D_I="SI",(Datos!J18-Datos!T18)/Datos!T18,(Datos!J18+Datos!AD18-(Datos!T18+Datos!AL18))/(Datos!T18+Datos!AL18))
     ),IF(D_I="SI",(Datos!J18-Datos!T18)/Datos!T18,(Datos!J18+Datos!AD18-(Datos!T18+Datos!AL18))/(Datos!T18+Datos!AL18))," - ")</f>
        <v>0.1170313986679353</v>
      </c>
      <c r="F18" s="393">
        <f>IF(ISNUMBER(
   IF(D_I="SI",(Datos!K18-Datos!U18)/Datos!U18,(Datos!K18+Datos!AE18-(Datos!U18+Datos!AM18))/(Datos!U18+Datos!AM18))
     ),IF(D_I="SI",(Datos!K18-Datos!U18)/Datos!U18,(Datos!K18+Datos!AE18-(Datos!U18+Datos!AM18))/(Datos!U18+Datos!AM18))," - ")</f>
        <v>-9.2514718250630776E-3</v>
      </c>
      <c r="G18" s="394">
        <f>IF(ISNUMBER(
   IF(D_I="SI",(Datos!L18-Datos!V18)/Datos!V18,(Datos!L18+Datos!AF18-(Datos!V18+Datos!AN18))/(Datos!V18+Datos!AN18))
     ),IF(D_I="SI",(Datos!L18-Datos!V18)/Datos!V18,(Datos!L18+Datos!AF18-(Datos!V18+Datos!AN18))/(Datos!V18+Datos!AN18))," - ")</f>
        <v>-1.7937219730941704E-2</v>
      </c>
      <c r="H18" s="244">
        <f>IF(ISNUMBER((Datos!M18-Datos!W18)/Datos!W18),(Datos!M18-Datos!W18)/Datos!W18," - ")</f>
        <v>7.2463768115942032E-2</v>
      </c>
      <c r="I18" s="395">
        <f>IF(ISNUMBER((Tasas!C18-Datos!BE18)/Datos!BE18),(Tasas!C18-Datos!BE18)/Datos!BE18," - ")</f>
        <v>-8.766854210602415E-3</v>
      </c>
      <c r="J18" s="394">
        <f>IF(ISNUMBER((Tasas!D18-Datos!BF18)/Datos!BF18),(Tasas!D18-Datos!BF18)/Datos!BF18," - ")</f>
        <v>8.2478285475258886E-2</v>
      </c>
      <c r="K18" s="396">
        <f>IF(ISNUMBER((Tasas!E18-Datos!BG18)/Datos!BG18),(Tasas!E18-Datos!BG18)/Datos!BG18," - ")</f>
        <v>-6.7683096312148947E-4</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0.18573264781491003</v>
      </c>
      <c r="E21" s="393">
        <f>IF(ISNUMBER((Datos!J21-Datos!T21)/Datos!T21),(Datos!J21-Datos!T21)/Datos!T21," - ")</f>
        <v>8.60832137733142E-3</v>
      </c>
      <c r="F21" s="393">
        <f>IF(ISNUMBER((Datos!K21-Datos!U21)/Datos!U21),(Datos!K21-Datos!U21)/Datos!U21," - ")</f>
        <v>-6.3920454545454544E-2</v>
      </c>
      <c r="G21" s="394">
        <f>IF(ISNUMBER((Datos!L21-Datos!V21)/Datos!V21),(Datos!L21-Datos!V21)/Datos!V21," - ")</f>
        <v>4.6070460704607047E-2</v>
      </c>
      <c r="H21" s="244">
        <f>IF(ISNUMBER((Datos!M21-Datos!W21)/Datos!W21),(Datos!M21-Datos!W21)/Datos!W21," - ")</f>
        <v>-9.1269841269841265E-2</v>
      </c>
      <c r="I21" s="395">
        <f>IF(ISNUMBER((Tasas!C21-Datos!BE21)/Datos!BE21),(Tasas!C21-Datos!BE21)/Datos!BE21," - ")</f>
        <v>0.11750167577548309</v>
      </c>
      <c r="J21" s="394">
        <f>IF(ISNUMBER((Tasas!D21-Datos!BF21)/Datos!BF21),(Tasas!D21-Datos!BF21)/Datos!BF21," - ")</f>
        <v>-2.9216947274610373E-2</v>
      </c>
      <c r="K21" s="396">
        <f>IF(ISNUMBER((Tasas!E21-Datos!BG21)/Datos!BG21),(Tasas!E21-Datos!BG21)/Datos!BG21," - ")</f>
        <v>0.17728659242303438</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0.10772257747171668</v>
      </c>
      <c r="E23" s="399">
        <f>IF(ISNUMBER(
   IF(D_I="SI",(Datos!J23-Datos!T23)/Datos!T23,(Datos!J23+Datos!AD23-(Datos!T23+Datos!AL23))/(Datos!T23+Datos!AL23))
     ),IF(D_I="SI",(Datos!J23-Datos!T23)/Datos!T23,(Datos!J23+Datos!AD23-(Datos!T23+Datos!AL23))/(Datos!T23+Datos!AL23))," - ")</f>
        <v>0.10491989224443499</v>
      </c>
      <c r="F23" s="399">
        <f>IF(ISNUMBER(
   IF(D_I="SI",(Datos!K23-Datos!U23)/Datos!U23,(Datos!K23+Datos!AE23-(Datos!U23+Datos!AM23))/(Datos!U23+Datos!AM23))
     ),IF(D_I="SI",(Datos!K23-Datos!U23)/Datos!U23,(Datos!K23+Datos!AE23-(Datos!U23+Datos!AM23))/(Datos!U23+Datos!AM23))," - ")</f>
        <v>4.8613117596070503E-2</v>
      </c>
      <c r="G23" s="400">
        <f>IF(ISNUMBER(
   IF(D_I="SI",(Datos!L23-Datos!V23)/Datos!V23,(Datos!L23+Datos!AF23-(Datos!V23+Datos!AN23))/(Datos!V23+Datos!AN23))
     ),IF(D_I="SI",(Datos!L23-Datos!V23)/Datos!V23,(Datos!L23+Datos!AF23-(Datos!V23+Datos!AN23))/(Datos!V23+Datos!AN23))," - ")</f>
        <v>0.17465956187092954</v>
      </c>
      <c r="H23" s="401">
        <f>IF(ISNUMBER((Datos!M23-Datos!W23)/Datos!W23),(Datos!M23-Datos!W23)/Datos!W23," - ")</f>
        <v>4.2258522727272728E-2</v>
      </c>
      <c r="I23" s="402">
        <f>IF(ISNUMBER((Tasas!C23-Datos!BE23)/Datos!BE23),(Tasas!C23-Datos!BE23)/Datos!BE23," - ")</f>
        <v>0.12020300162162638</v>
      </c>
      <c r="J23" s="400">
        <f>IF(ISNUMBER((Tasas!D23-Datos!BF23)/Datos!BF23),(Tasas!D23-Datos!BF23)/Datos!BF23," - ")</f>
        <v>-6.059999405086244E-3</v>
      </c>
      <c r="K23" s="403">
        <f>IF(ISNUMBER((Tasas!E23-Datos!BG23)/Datos!BG23),(Tasas!E23-Datos!BG23)/Datos!BG23," - ")</f>
        <v>5.450321093137836E-2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-8.5413929040735869E-3</v>
      </c>
      <c r="E28" s="393">
        <f>IF(ISNUMBER((Datos!J28-Datos!T28)/Datos!T28),(Datos!J28-Datos!T28)/Datos!T28," - ")</f>
        <v>-1.4388489208633094E-3</v>
      </c>
      <c r="F28" s="393">
        <f>IF(ISNUMBER((Datos!K28-Datos!U28)/Datos!U28),(Datos!K28-Datos!U28)/Datos!U28," - ")</f>
        <v>0.16864864864864865</v>
      </c>
      <c r="G28" s="394">
        <f>IF(ISNUMBER((Datos!L28-Datos!V28)/Datos!V28),(Datos!L28-Datos!V28)/Datos!V28," - ")</f>
        <v>-0.1633532140490391</v>
      </c>
      <c r="H28" s="244">
        <f>IF(ISNUMBER((Datos!M28-Datos!W28)/Datos!W28),(Datos!M28-Datos!W28)/Datos!W28," - ")</f>
        <v>0.28311057108140947</v>
      </c>
      <c r="I28" s="395">
        <f>IF(ISNUMBER((Tasas!C28-Datos!BE28)/Datos!BE28),(Tasas!C28-Datos!BE28)/Datos!BE28," - ")</f>
        <v>-0.28409040055075035</v>
      </c>
      <c r="J28" s="394">
        <f>IF(ISNUMBER((Tasas!D28-Datos!BF28)/Datos!BF28),(Tasas!D28-Datos!BF28)/Datos!BF28," - ")</f>
        <v>9.7943828168643526E-2</v>
      </c>
      <c r="K28" s="396">
        <f>IF(ISNUMBER((Tasas!E28-Datos!BG28)/Datos!BG28),(Tasas!E28-Datos!BG28)/Datos!BG28," - ")</f>
        <v>-0.14871856288946939</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-8.5413929040735869E-3</v>
      </c>
      <c r="E30" s="1109">
        <f>IF(ISNUMBER((Datos!J30-Datos!T30)/Datos!T30),(Datos!J30-Datos!T30)/Datos!T30," - ")</f>
        <v>-1.4388489208633094E-3</v>
      </c>
      <c r="F30" s="1109">
        <f>IF(ISNUMBER((Datos!K30-Datos!U30)/Datos!U30),(Datos!K30-Datos!U30)/Datos!U30," - ")</f>
        <v>0.16864864864864865</v>
      </c>
      <c r="G30" s="1110">
        <f>IF(ISNUMBER((Datos!L30-Datos!V30)/Datos!V30),(Datos!L30-Datos!V30)/Datos!V30," - ")</f>
        <v>-0.1633532140490391</v>
      </c>
      <c r="H30" s="1111">
        <f>IF(ISNUMBER((Datos!M30-Datos!W30)/Datos!W30),(Datos!M30-Datos!W30)/Datos!W30," - ")</f>
        <v>0.28311057108140947</v>
      </c>
      <c r="I30" s="1112">
        <f>IF(ISNUMBER((Tasas!C30-Datos!BE30)/Datos!BE30),(Tasas!C30-Datos!BE30)/Datos!BE30," - ")</f>
        <v>-0.28409040055075035</v>
      </c>
      <c r="J30" s="1110">
        <f>IF(ISNUMBER((Tasas!D30-Datos!BF30)/Datos!BF30),(Tasas!D30-Datos!BF30)/Datos!BF30," - ")</f>
        <v>9.7943828168643526E-2</v>
      </c>
      <c r="K30" s="1113">
        <f>IF(ISNUMBER((Tasas!E30-Datos!BG30)/Datos!BG30),(Tasas!E30-Datos!BG30)/Datos!BG30," - ")</f>
        <v>-0.14871856288946939</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6.1728935164931317E-2</v>
      </c>
      <c r="E31" s="409">
        <f>IF(ISNUMBER(
   IF(J_V="SI",(Datos!J31-Datos!T31)/Datos!T31,(Datos!J31+Datos!Z31-(Datos!T31+Datos!AH31))/(Datos!T31+Datos!AH31))
     ),IF(J_V="SI",(Datos!J31-Datos!T31)/Datos!T31,(Datos!J31+Datos!Z31-(Datos!T31+Datos!AH31))/(Datos!T31+Datos!AH31))," - ")</f>
        <v>0.1375101201967989</v>
      </c>
      <c r="F31" s="409">
        <f>IF(ISNUMBER(
   IF(J_V="SI",(Datos!K31-Datos!U31)/Datos!U31,(Datos!K31+Datos!AA31-(Datos!U31+Datos!AI31))/(Datos!U31+Datos!AI31))
     ),IF(J_V="SI",(Datos!K31-Datos!U31)/Datos!U31,(Datos!K31+Datos!AA31-(Datos!U31+Datos!AI31))/(Datos!U31+Datos!AI31))," - ")</f>
        <v>0.104240624798296</v>
      </c>
      <c r="G31" s="410">
        <f>IF(ISNUMBER(
   IF(J_V="SI",(Datos!L31-Datos!V31)/Datos!V31,(Datos!L31+Datos!AB31-(Datos!V31+Datos!AJ31))/(Datos!V31+Datos!AJ31))
     ),IF(J_V="SI",(Datos!L31-Datos!V31)/Datos!V31,(Datos!L31+Datos!AB31-(Datos!V31+Datos!AJ31))/(Datos!V31+Datos!AJ31))," - ")</f>
        <v>9.9056409411182988E-2</v>
      </c>
      <c r="H31" s="411">
        <f>IF(ISNUMBER((Datos!M31-Datos!W31)/Datos!W31),(Datos!M31-Datos!W31)/Datos!W31," - ")</f>
        <v>4.8739495798319328E-2</v>
      </c>
      <c r="I31" s="408">
        <f>IF(ISNUMBER((Tasas!C31-Datos!BE31)/Datos!BE31),(Tasas!C31-Datos!BE31)/Datos!BE31," - ")</f>
        <v>-4.694824000031704E-3</v>
      </c>
      <c r="J31" s="409">
        <f>IF(ISNUMBER((Tasas!D31-Datos!BF31)/Datos!BF31),(Tasas!D31-Datos!BF31)/Datos!BF31," - ")</f>
        <v>-0.31834231010372477</v>
      </c>
      <c r="K31" s="410">
        <f>IF(ISNUMBER((Tasas!E31-Datos!BG31)/Datos!BG31),(Tasas!E31-Datos!BG31)/Datos!BG31," - ")</f>
        <v>1.5927625262784012E-3</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0.18648407154711347</v>
      </c>
      <c r="E33" s="303">
        <f t="shared" si="1"/>
        <v>6.2655145621359709E-2</v>
      </c>
      <c r="F33" s="303">
        <f t="shared" si="1"/>
        <v>8.6167023184298641E-2</v>
      </c>
      <c r="G33" s="304">
        <f t="shared" si="1"/>
        <v>0.15360144004312268</v>
      </c>
      <c r="H33" s="310">
        <f t="shared" si="1"/>
        <v>0.14998350054552967</v>
      </c>
      <c r="I33" s="302">
        <f t="shared" si="1"/>
        <v>0.15301402210783988</v>
      </c>
      <c r="J33" s="303">
        <f t="shared" si="1"/>
        <v>0.25408868149884623</v>
      </c>
      <c r="K33" s="304">
        <f t="shared" si="1"/>
        <v>9.514650655749364E-2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r6jXVVaTyz6Xcc+NtPBsMTv5BjV/Xj3Mvo4HKve+xJRlogp214fusuYbBohZMnwzmeAWLPj+Mm9iRIBHz+Spg==" saltValue="jzXzx1s0H2lDI+nRUDh4B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